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<sst xmlns="http://schemas.openxmlformats.org/spreadsheetml/2006/main" count="164" uniqueCount="113">
  <si>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</si>
  <si>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</si>
  <si>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</si>
  <si>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</si>
  <si>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</si>
  <si>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</si>
  <si>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</si>
  <si>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</si>
  <si>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</si>
  <si>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</si>
  <si>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</si>
  <si>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</si>
  <si>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</si>
  <si>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</si>
  <si>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</si>
  <si>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</si>
  <si>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</si>
  <si>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</si>
  <si>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</si>
  <si>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</si>
  <si>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</si>
  <si>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</si>
  <si>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</si>
  <si>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</si>
  <si>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</si>
  <si>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</si>
  <si>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</si>
  <si>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</si>
  <si>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</si>
  <si>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</si>
  <si>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</si>
  <si>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</si>
  <si>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</si>
  <si>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</si>
  <si>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</si>
  <si>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</si>
  <si>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</si>
  <si>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</si>
  <si>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</si>
  <si>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</si>
  <si>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</si>
  <si>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</si>
  <si>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</si>
  <si>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</si>
  <si>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</si>
  <si>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</si>
  <si>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</si>
  <si>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</si>
  <si>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</si>
  <si>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</si>
  <si>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</si>
  <si>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</si>
  <si>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</si>
  <si>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</si>
  <si>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</si>
  <si>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</si>
  <si>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</si>
  <si>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</si>
  <si>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</si>
  <si>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</si>
  <si>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</si>
  <si>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</si>
  <si>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</si>
  <si>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</si>
  <si>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</si>
  <si>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</si>
  <si>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</si>
  <si>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</si>
  <si>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</si>
  <si>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</si>
  <si>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</si>
  <si>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</si>
  <si>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</si>
  <si>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</si>
  <si>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</si>
  <si>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</si>
  <si>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</si>
  <si>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</si>
  <si>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</si>
  <si>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</si>
  <si>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</si>
  <si>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</si>
  <si>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</si>
  <si>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</si>
  <si>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</si>
  <si>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</si>
  <si>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</si>
  <si>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</si>
  <si>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</si>
  <si>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</si>
  <si>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</si>
  <si>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</si>
  <si>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</si>
  <si>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</si>
  <si>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</si>
  <si>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</si>
  <si>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</si>
  <si>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</si>
  <si>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</si>
  <si>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</si>
  <si>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</si>
  <si>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</si>
  <si>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</si>
  <si>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</si>
  <si>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</si>
  <si>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</si>
  <si>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</si>
  <si>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</si>
  <si>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</si>
  <si>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</si>
  <si>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</si>
  <si>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</si>
  <si>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05.02.2018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</si>
</sst>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190" fontId="9" fillId="14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12935.1</c:v>
                </c:pt>
                <c:pt idx="1">
                  <c:v>12785.509999999998</c:v>
                </c:pt>
                <c:pt idx="2">
                  <c:v>57.2</c:v>
                </c:pt>
                <c:pt idx="3">
                  <c:v>92.39000000000196</c:v>
                </c:pt>
              </c:numCache>
            </c:numRef>
          </c:val>
          <c:shape val="box"/>
        </c:ser>
        <c:shape val="box"/>
        <c:axId val="3947978"/>
        <c:axId val="35531803"/>
      </c:bar3D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9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49660.7</c:v>
                </c:pt>
                <c:pt idx="1">
                  <c:v>19157.9</c:v>
                </c:pt>
                <c:pt idx="2">
                  <c:v>47059</c:v>
                </c:pt>
                <c:pt idx="3">
                  <c:v>441.90000000000003</c:v>
                </c:pt>
                <c:pt idx="4">
                  <c:v>1017.5000000000001</c:v>
                </c:pt>
                <c:pt idx="5">
                  <c:v>1126.3</c:v>
                </c:pt>
                <c:pt idx="6">
                  <c:v>15.999999999997044</c:v>
                </c:pt>
              </c:numCache>
            </c:numRef>
          </c:val>
          <c:shape val="box"/>
        </c:ser>
        <c:shape val="box"/>
        <c:axId val="51350772"/>
        <c:axId val="59503765"/>
      </c:bar3D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50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26438.9</c:v>
                </c:pt>
                <c:pt idx="1">
                  <c:v>19461.800000000003</c:v>
                </c:pt>
                <c:pt idx="2">
                  <c:v>26438.9</c:v>
                </c:pt>
              </c:numCache>
            </c:numRef>
          </c:val>
          <c:shape val="box"/>
        </c:ser>
        <c:shape val="box"/>
        <c:axId val="65771838"/>
        <c:axId val="55075631"/>
      </c:bar3D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1472.3999999999999</c:v>
                </c:pt>
                <c:pt idx="1">
                  <c:v>912.7</c:v>
                </c:pt>
                <c:pt idx="2">
                  <c:v>0.3</c:v>
                </c:pt>
                <c:pt idx="3">
                  <c:v>69.9</c:v>
                </c:pt>
                <c:pt idx="4">
                  <c:v>5.1</c:v>
                </c:pt>
                <c:pt idx="5">
                  <c:v>484.39999999999986</c:v>
                </c:pt>
              </c:numCache>
            </c:numRef>
          </c:val>
          <c:shape val="box"/>
        </c:ser>
        <c:shape val="box"/>
        <c:axId val="25918632"/>
        <c:axId val="31941097"/>
      </c:bar3D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1760.8</c:v>
                </c:pt>
                <c:pt idx="1">
                  <c:v>1434.5</c:v>
                </c:pt>
                <c:pt idx="3">
                  <c:v>0.2</c:v>
                </c:pt>
                <c:pt idx="4">
                  <c:v>1.5</c:v>
                </c:pt>
                <c:pt idx="5">
                  <c:v>0</c:v>
                </c:pt>
                <c:pt idx="6">
                  <c:v>324.59999999999997</c:v>
                </c:pt>
              </c:numCache>
            </c:numRef>
          </c:val>
          <c:shape val="box"/>
        </c:ser>
        <c:shape val="box"/>
        <c:axId val="19034418"/>
        <c:axId val="37092035"/>
      </c:bar3D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2035"/>
        <c:crosses val="autoZero"/>
        <c:auto val="1"/>
        <c:lblOffset val="100"/>
        <c:tickLblSkip val="2"/>
        <c:noMultiLvlLbl val="0"/>
      </c:catAx>
      <c:valAx>
        <c:axId val="37092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254.60000000000002</c:v>
                </c:pt>
                <c:pt idx="1">
                  <c:v>233.70000000000002</c:v>
                </c:pt>
                <c:pt idx="3">
                  <c:v>10.9</c:v>
                </c:pt>
                <c:pt idx="5">
                  <c:v>10.000000000000005</c:v>
                </c:pt>
              </c:numCache>
            </c:numRef>
          </c:val>
          <c:shape val="box"/>
        </c:ser>
        <c:shape val="box"/>
        <c:axId val="65392860"/>
        <c:axId val="51664829"/>
      </c:bar3D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2761.5</c:v>
                </c:pt>
              </c:numCache>
            </c:numRef>
          </c:val>
          <c:shape val="box"/>
        </c:ser>
        <c:shape val="box"/>
        <c:axId val="62330278"/>
        <c:axId val="24101591"/>
      </c:bar3D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49660.7</c:v>
                </c:pt>
                <c:pt idx="1">
                  <c:v>26438.9</c:v>
                </c:pt>
                <c:pt idx="2">
                  <c:v>1472.3999999999999</c:v>
                </c:pt>
                <c:pt idx="3">
                  <c:v>1760.8</c:v>
                </c:pt>
                <c:pt idx="4">
                  <c:v>254.60000000000002</c:v>
                </c:pt>
                <c:pt idx="5">
                  <c:v>12935.1</c:v>
                </c:pt>
                <c:pt idx="6">
                  <c:v>2761.5</c:v>
                </c:pt>
              </c:numCache>
            </c:numRef>
          </c:val>
          <c:shape val="box"/>
        </c:ser>
        <c:shape val="box"/>
        <c:axId val="15587728"/>
        <c:axId val="6071825"/>
      </c:bar3D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1075"/>
          <c:w val="0.84125"/>
          <c:h val="0.4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63367.009999999995</c:v>
                </c:pt>
                <c:pt idx="1">
                  <c:v>2574.9</c:v>
                </c:pt>
                <c:pt idx="2">
                  <c:v>442.1</c:v>
                </c:pt>
                <c:pt idx="3">
                  <c:v>1434.2999999999997</c:v>
                </c:pt>
                <c:pt idx="4">
                  <c:v>0</c:v>
                </c:pt>
                <c:pt idx="5">
                  <c:v>36582.29000000001</c:v>
                </c:pt>
              </c:numCache>
            </c:numRef>
          </c:val>
          <c:shape val="box"/>
        </c:ser>
        <c:shape val="box"/>
        <c:axId val="54646426"/>
        <c:axId val="22055787"/>
      </c:bar3D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7" sqref="D57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0" t="s">
        <v>41</v>
      </c>
      <c r="B3" s="173" t="s">
        <v>109</v>
      </c>
      <c r="C3" s="167" t="s">
        <v>106</v>
      </c>
      <c r="D3" s="167" t="s">
        <v>23</v>
      </c>
      <c r="E3" s="167" t="s">
        <v>22</v>
      </c>
      <c r="F3" s="167" t="s">
        <v>110</v>
      </c>
      <c r="G3" s="167" t="s">
        <v>107</v>
      </c>
      <c r="H3" s="167" t="s">
        <v>111</v>
      </c>
      <c r="I3" s="167" t="s">
        <v>108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9" ht="39" customHeight="1" thickBot="1">
      <c r="A5" s="172"/>
      <c r="B5" s="175"/>
      <c r="C5" s="169"/>
      <c r="D5" s="169"/>
      <c r="E5" s="169"/>
      <c r="F5" s="169"/>
      <c r="G5" s="169"/>
      <c r="H5" s="169"/>
      <c r="I5" s="169"/>
    </row>
    <row r="6" spans="1:11" ht="18.75" thickBot="1">
      <c r="A6" s="20" t="s">
        <v>27</v>
      </c>
      <c r="B6" s="39">
        <f>37010.6+B7-192+37202.6</f>
        <v>112380.4</v>
      </c>
      <c r="C6" s="40">
        <f>111031.8+C7</f>
        <v>168570.6</v>
      </c>
      <c r="D6" s="41">
        <f>18784.8+19.1+1564+604.6+17261.2+400.5+10875.2+151.3</f>
        <v>49660.7</v>
      </c>
      <c r="E6" s="3">
        <f>D6/D152*100</f>
        <v>47.56744693038162</v>
      </c>
      <c r="F6" s="3">
        <f>D6/B6*100</f>
        <v>44.1898231364188</v>
      </c>
      <c r="G6" s="3">
        <f aca="true" t="shared" si="0" ref="G6:G43">D6/C6*100</f>
        <v>29.459882090945865</v>
      </c>
      <c r="H6" s="41">
        <f>B6-D6</f>
        <v>62719.7</v>
      </c>
      <c r="I6" s="41">
        <f aca="true" t="shared" si="1" ref="I6:I43">C6-D6</f>
        <v>118909.90000000001</v>
      </c>
      <c r="J6" s="161"/>
      <c r="K6" s="158"/>
    </row>
    <row r="7" spans="1:12" s="95" customFormat="1" ht="18">
      <c r="A7" s="144" t="s">
        <v>82</v>
      </c>
      <c r="B7" s="145">
        <f>19179.6+19179.6</f>
        <v>38359.2</v>
      </c>
      <c r="C7" s="146">
        <v>57538.8</v>
      </c>
      <c r="D7" s="147">
        <f>8282.7+10875.2</f>
        <v>19157.9</v>
      </c>
      <c r="E7" s="148">
        <f>D7/D6*100</f>
        <v>38.57758750883496</v>
      </c>
      <c r="F7" s="148">
        <f>D7/B7*100</f>
        <v>49.94342947715282</v>
      </c>
      <c r="G7" s="148">
        <f>D7/C7*100</f>
        <v>33.2956196514352</v>
      </c>
      <c r="H7" s="147">
        <f>B7-D7</f>
        <v>19201.299999999996</v>
      </c>
      <c r="I7" s="147">
        <f t="shared" si="1"/>
        <v>38380.9</v>
      </c>
      <c r="J7" s="162"/>
      <c r="K7" s="158"/>
      <c r="L7" s="143"/>
    </row>
    <row r="8" spans="1:12" s="94" customFormat="1" ht="18">
      <c r="A8" s="105" t="s">
        <v>3</v>
      </c>
      <c r="B8" s="130">
        <f>47930.9+39328.6</f>
        <v>87259.5</v>
      </c>
      <c r="C8" s="131">
        <v>143792.8</v>
      </c>
      <c r="D8" s="107">
        <f>18784.8+17058.5+10875.2+340.5</f>
        <v>47059</v>
      </c>
      <c r="E8" s="109">
        <f>D8/D6*100</f>
        <v>94.76104847495102</v>
      </c>
      <c r="F8" s="109">
        <f>D8/B8*100</f>
        <v>53.92994459056034</v>
      </c>
      <c r="G8" s="109">
        <f t="shared" si="0"/>
        <v>32.726951558075235</v>
      </c>
      <c r="H8" s="107">
        <f>B8-D8</f>
        <v>40200.5</v>
      </c>
      <c r="I8" s="107">
        <f t="shared" si="1"/>
        <v>96733.79999999999</v>
      </c>
      <c r="J8" s="161"/>
      <c r="K8" s="158"/>
      <c r="L8" s="143"/>
    </row>
    <row r="9" spans="1:12" s="94" customFormat="1" ht="18" hidden="1">
      <c r="A9" s="105" t="s">
        <v>2</v>
      </c>
      <c r="B9" s="130">
        <v>0</v>
      </c>
      <c r="C9" s="131">
        <v>0</v>
      </c>
      <c r="D9" s="107"/>
      <c r="E9" s="132">
        <f>D9/D6*100</f>
        <v>0</v>
      </c>
      <c r="F9" s="109" t="e">
        <f>D9/B9*100</f>
        <v>#DIV/0!</v>
      </c>
      <c r="G9" s="109" t="e">
        <f t="shared" si="0"/>
        <v>#DIV/0!</v>
      </c>
      <c r="H9" s="107">
        <f aca="true" t="shared" si="2" ref="H9:H43">B9-D9</f>
        <v>0</v>
      </c>
      <c r="I9" s="107">
        <f t="shared" si="1"/>
        <v>0</v>
      </c>
      <c r="J9" s="161"/>
      <c r="K9" s="158"/>
      <c r="L9" s="143"/>
    </row>
    <row r="10" spans="1:12" s="94" customFormat="1" ht="18">
      <c r="A10" s="105" t="s">
        <v>1</v>
      </c>
      <c r="B10" s="130">
        <f>3147.6+4039.9</f>
        <v>7187.5</v>
      </c>
      <c r="C10" s="131">
        <v>10964.3</v>
      </c>
      <c r="D10" s="149">
        <f>48.9+218.8+88.4+85.8</f>
        <v>441.90000000000003</v>
      </c>
      <c r="E10" s="109">
        <f>D10/D6*100</f>
        <v>0.8898384436788045</v>
      </c>
      <c r="F10" s="109">
        <f aca="true" t="shared" si="3" ref="F10:F41">D10/B10*100</f>
        <v>6.148173913043479</v>
      </c>
      <c r="G10" s="109">
        <f t="shared" si="0"/>
        <v>4.030353054914587</v>
      </c>
      <c r="H10" s="107">
        <f t="shared" si="2"/>
        <v>6745.6</v>
      </c>
      <c r="I10" s="107">
        <f t="shared" si="1"/>
        <v>10522.4</v>
      </c>
      <c r="J10" s="161"/>
      <c r="K10" s="158"/>
      <c r="L10" s="143"/>
    </row>
    <row r="11" spans="1:12" s="94" customFormat="1" ht="18">
      <c r="A11" s="105" t="s">
        <v>0</v>
      </c>
      <c r="B11" s="130">
        <f>3754.9-98+2976.6</f>
        <v>6633.5</v>
      </c>
      <c r="C11" s="131">
        <v>9846.2</v>
      </c>
      <c r="D11" s="150">
        <f>19.1+640.6+125.5+108.2+60+64.1</f>
        <v>1017.5000000000001</v>
      </c>
      <c r="E11" s="109">
        <f>D11/D6*100</f>
        <v>2.0489038616048507</v>
      </c>
      <c r="F11" s="109">
        <f t="shared" si="3"/>
        <v>15.33881058264868</v>
      </c>
      <c r="G11" s="109">
        <f t="shared" si="0"/>
        <v>10.333935934675306</v>
      </c>
      <c r="H11" s="107">
        <f t="shared" si="2"/>
        <v>5616</v>
      </c>
      <c r="I11" s="107">
        <f t="shared" si="1"/>
        <v>8828.7</v>
      </c>
      <c r="J11" s="161"/>
      <c r="K11" s="158"/>
      <c r="L11" s="143"/>
    </row>
    <row r="12" spans="1:12" s="94" customFormat="1" ht="18">
      <c r="A12" s="105" t="s">
        <v>14</v>
      </c>
      <c r="B12" s="130">
        <f>1165+1154</f>
        <v>2319</v>
      </c>
      <c r="C12" s="131">
        <v>3402</v>
      </c>
      <c r="D12" s="107">
        <f>874.5+251.8</f>
        <v>1126.3</v>
      </c>
      <c r="E12" s="109">
        <f>D12/D6*100</f>
        <v>2.267990584103728</v>
      </c>
      <c r="F12" s="109">
        <f t="shared" si="3"/>
        <v>48.56834842604571</v>
      </c>
      <c r="G12" s="109">
        <f t="shared" si="0"/>
        <v>33.10699588477366</v>
      </c>
      <c r="H12" s="107">
        <f>B12-D12</f>
        <v>1192.7</v>
      </c>
      <c r="I12" s="107">
        <f t="shared" si="1"/>
        <v>2275.7</v>
      </c>
      <c r="J12" s="161"/>
      <c r="K12" s="158"/>
      <c r="L12" s="143"/>
    </row>
    <row r="13" spans="1:12" s="94" customFormat="1" ht="18.75" thickBot="1">
      <c r="A13" s="105" t="s">
        <v>28</v>
      </c>
      <c r="B13" s="131">
        <f>B6-B8-B9-B10-B11-B12</f>
        <v>8980.899999999994</v>
      </c>
      <c r="C13" s="131">
        <f>C6-C8-C9-C10-C11-C12</f>
        <v>565.3000000000175</v>
      </c>
      <c r="D13" s="131">
        <f>D6-D8-D9-D10-D11-D12</f>
        <v>15.999999999997044</v>
      </c>
      <c r="E13" s="109">
        <f>D13/D6*100</f>
        <v>0.032218635661593664</v>
      </c>
      <c r="F13" s="109">
        <f t="shared" si="3"/>
        <v>0.17815586411158185</v>
      </c>
      <c r="G13" s="109">
        <f t="shared" si="0"/>
        <v>2.830355563417044</v>
      </c>
      <c r="H13" s="107">
        <f t="shared" si="2"/>
        <v>8964.899999999998</v>
      </c>
      <c r="I13" s="107">
        <f t="shared" si="1"/>
        <v>549.3000000000204</v>
      </c>
      <c r="J13" s="161"/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2"/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2"/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2"/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2"/>
      <c r="K17" s="11"/>
      <c r="L17" s="11"/>
      <c r="M17" s="11"/>
    </row>
    <row r="18" spans="1:11" ht="18.75" thickBot="1">
      <c r="A18" s="20" t="s">
        <v>19</v>
      </c>
      <c r="B18" s="39">
        <f>11439.4+B19-25.4+11464.7</f>
        <v>66884.7</v>
      </c>
      <c r="C18" s="40">
        <f>34318.2+C19</f>
        <v>100327</v>
      </c>
      <c r="D18" s="41">
        <f>10253+9229.9+6482.3+67.5+83+34.1+81.4+107.8+99.9</f>
        <v>26438.9</v>
      </c>
      <c r="E18" s="3">
        <f>D18/D152*100</f>
        <v>25.32447131529895</v>
      </c>
      <c r="F18" s="3">
        <f>D18/B18*100</f>
        <v>39.529070175989425</v>
      </c>
      <c r="G18" s="3">
        <f t="shared" si="0"/>
        <v>26.35272658407009</v>
      </c>
      <c r="H18" s="41">
        <f>B18-D18</f>
        <v>40445.799999999996</v>
      </c>
      <c r="I18" s="41">
        <f t="shared" si="1"/>
        <v>73888.1</v>
      </c>
      <c r="J18" s="161"/>
      <c r="K18" s="158"/>
    </row>
    <row r="19" spans="1:13" s="95" customFormat="1" ht="18">
      <c r="A19" s="144" t="s">
        <v>83</v>
      </c>
      <c r="B19" s="145">
        <f>22003+22003</f>
        <v>44006</v>
      </c>
      <c r="C19" s="146">
        <v>66008.8</v>
      </c>
      <c r="D19" s="147">
        <f>10253+8836.7+83+81.4+107.8+99.9</f>
        <v>19461.800000000003</v>
      </c>
      <c r="E19" s="148">
        <f>D19/D18*100</f>
        <v>73.61047547363923</v>
      </c>
      <c r="F19" s="148">
        <f t="shared" si="3"/>
        <v>44.225332909148754</v>
      </c>
      <c r="G19" s="148">
        <f t="shared" si="0"/>
        <v>29.483644604961768</v>
      </c>
      <c r="H19" s="147">
        <f t="shared" si="2"/>
        <v>24544.199999999997</v>
      </c>
      <c r="I19" s="147">
        <f t="shared" si="1"/>
        <v>46547</v>
      </c>
      <c r="J19" s="162"/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J20" s="161"/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J21" s="161"/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J22" s="161"/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J23" s="161"/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J24" s="161"/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66884.7</v>
      </c>
      <c r="C25" s="131">
        <f>C18</f>
        <v>100327</v>
      </c>
      <c r="D25" s="131">
        <f>D18</f>
        <v>26438.9</v>
      </c>
      <c r="E25" s="109">
        <f>D25/D18*100</f>
        <v>100</v>
      </c>
      <c r="F25" s="109">
        <f t="shared" si="3"/>
        <v>39.529070175989425</v>
      </c>
      <c r="G25" s="109">
        <f t="shared" si="0"/>
        <v>26.35272658407009</v>
      </c>
      <c r="H25" s="107">
        <f t="shared" si="2"/>
        <v>40445.799999999996</v>
      </c>
      <c r="I25" s="107">
        <f t="shared" si="1"/>
        <v>73888.1</v>
      </c>
      <c r="J25" s="161"/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1"/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1"/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1"/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1"/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1"/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1"/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1"/>
      <c r="K32" s="158">
        <f t="shared" si="4"/>
        <v>0</v>
      </c>
    </row>
    <row r="33" spans="1:11" ht="18.75" thickBot="1">
      <c r="A33" s="20" t="s">
        <v>17</v>
      </c>
      <c r="B33" s="39">
        <f>1783.6+4.1+1779.5</f>
        <v>3567.2</v>
      </c>
      <c r="C33" s="40">
        <v>5350.83</v>
      </c>
      <c r="D33" s="43">
        <f>364.6+44.8+35.8+191.3+646.1+25.1+164.7</f>
        <v>1472.3999999999999</v>
      </c>
      <c r="E33" s="3">
        <f>D33/D152*100</f>
        <v>1.4103367222027456</v>
      </c>
      <c r="F33" s="3">
        <f>D33/B33*100</f>
        <v>41.2760708679076</v>
      </c>
      <c r="G33" s="3">
        <f t="shared" si="0"/>
        <v>27.517226299471293</v>
      </c>
      <c r="H33" s="41">
        <f t="shared" si="2"/>
        <v>2094.8</v>
      </c>
      <c r="I33" s="41">
        <f t="shared" si="1"/>
        <v>3878.4300000000003</v>
      </c>
      <c r="J33" s="161"/>
      <c r="K33" s="158"/>
    </row>
    <row r="34" spans="1:11" s="94" customFormat="1" ht="18">
      <c r="A34" s="105" t="s">
        <v>3</v>
      </c>
      <c r="B34" s="130">
        <f>944.5+957.2</f>
        <v>1901.7</v>
      </c>
      <c r="C34" s="131">
        <v>2883.5</v>
      </c>
      <c r="D34" s="107">
        <f>364.6+548.1</f>
        <v>912.7</v>
      </c>
      <c r="E34" s="109">
        <f>D34/D33*100</f>
        <v>61.98723173050802</v>
      </c>
      <c r="F34" s="109">
        <f t="shared" si="3"/>
        <v>47.99390019456276</v>
      </c>
      <c r="G34" s="109">
        <f t="shared" si="0"/>
        <v>31.6525056355124</v>
      </c>
      <c r="H34" s="107">
        <f t="shared" si="2"/>
        <v>989</v>
      </c>
      <c r="I34" s="107">
        <f t="shared" si="1"/>
        <v>1970.8</v>
      </c>
      <c r="J34" s="161"/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J35" s="161"/>
      <c r="K35" s="158"/>
    </row>
    <row r="36" spans="1:11" s="94" customFormat="1" ht="18">
      <c r="A36" s="105" t="s">
        <v>0</v>
      </c>
      <c r="B36" s="130">
        <f>177.1+157.7</f>
        <v>334.79999999999995</v>
      </c>
      <c r="C36" s="131">
        <v>476.8</v>
      </c>
      <c r="D36" s="107">
        <v>0.3</v>
      </c>
      <c r="E36" s="109">
        <f>D36/D33*100</f>
        <v>0.020374898125509373</v>
      </c>
      <c r="F36" s="109">
        <f t="shared" si="3"/>
        <v>0.0896057347670251</v>
      </c>
      <c r="G36" s="109">
        <f t="shared" si="0"/>
        <v>0.06291946308724831</v>
      </c>
      <c r="H36" s="107">
        <f t="shared" si="2"/>
        <v>334.49999999999994</v>
      </c>
      <c r="I36" s="107">
        <f t="shared" si="1"/>
        <v>476.5</v>
      </c>
      <c r="J36" s="161"/>
      <c r="K36" s="158"/>
    </row>
    <row r="37" spans="1:12" s="95" customFormat="1" ht="18">
      <c r="A37" s="121" t="s">
        <v>7</v>
      </c>
      <c r="B37" s="141">
        <f>78.5+5.5+73</f>
        <v>157</v>
      </c>
      <c r="C37" s="142">
        <v>235.5</v>
      </c>
      <c r="D37" s="112">
        <f>44.8+25.1</f>
        <v>69.9</v>
      </c>
      <c r="E37" s="116">
        <f>D37/D33*100</f>
        <v>4.747351263243685</v>
      </c>
      <c r="F37" s="116">
        <f t="shared" si="3"/>
        <v>44.52229299363057</v>
      </c>
      <c r="G37" s="116">
        <f t="shared" si="0"/>
        <v>29.681528662420387</v>
      </c>
      <c r="H37" s="112">
        <f t="shared" si="2"/>
        <v>87.1</v>
      </c>
      <c r="I37" s="112">
        <f t="shared" si="1"/>
        <v>165.6</v>
      </c>
      <c r="J37" s="162"/>
      <c r="K37" s="158"/>
      <c r="L37" s="143"/>
    </row>
    <row r="38" spans="1:11" s="94" customFormat="1" ht="18">
      <c r="A38" s="105" t="s">
        <v>14</v>
      </c>
      <c r="B38" s="130">
        <f>5.1+5.1</f>
        <v>10.2</v>
      </c>
      <c r="C38" s="131">
        <v>15.3</v>
      </c>
      <c r="D38" s="131">
        <v>5.1</v>
      </c>
      <c r="E38" s="109">
        <f>D38/D33*100</f>
        <v>0.3463732681336593</v>
      </c>
      <c r="F38" s="109">
        <f t="shared" si="3"/>
        <v>50</v>
      </c>
      <c r="G38" s="109">
        <f t="shared" si="0"/>
        <v>33.33333333333333</v>
      </c>
      <c r="H38" s="107">
        <f t="shared" si="2"/>
        <v>5.1</v>
      </c>
      <c r="I38" s="107">
        <f t="shared" si="1"/>
        <v>10.200000000000001</v>
      </c>
      <c r="J38" s="161"/>
      <c r="K38" s="158"/>
    </row>
    <row r="39" spans="1:11" s="94" customFormat="1" ht="18.75" thickBot="1">
      <c r="A39" s="105" t="s">
        <v>28</v>
      </c>
      <c r="B39" s="130">
        <f>B33-B34-B36-B37-B35-B38</f>
        <v>1163.4999999999998</v>
      </c>
      <c r="C39" s="130">
        <f>C33-C34-C36-C37-C35-C38</f>
        <v>1739.73</v>
      </c>
      <c r="D39" s="130">
        <f>D33-D34-D36-D37-D35-D38</f>
        <v>484.39999999999986</v>
      </c>
      <c r="E39" s="109">
        <f>D39/D33*100</f>
        <v>32.89866883998913</v>
      </c>
      <c r="F39" s="109">
        <f t="shared" si="3"/>
        <v>41.63300386764073</v>
      </c>
      <c r="G39" s="109">
        <f t="shared" si="0"/>
        <v>27.843400987509547</v>
      </c>
      <c r="H39" s="107">
        <f>B39-D39</f>
        <v>679.0999999999999</v>
      </c>
      <c r="I39" s="107">
        <f t="shared" si="1"/>
        <v>1255.3300000000002</v>
      </c>
      <c r="J39" s="161"/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1"/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1"/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1"/>
      <c r="K42" s="158">
        <f>C42-B42</f>
        <v>0</v>
      </c>
    </row>
    <row r="43" spans="1:11" ht="18.75" thickBot="1">
      <c r="A43" s="12" t="s">
        <v>16</v>
      </c>
      <c r="B43" s="77">
        <f>83.2+90.6-5.5+179.3</f>
        <v>347.6</v>
      </c>
      <c r="C43" s="40">
        <f>249.6+271.7</f>
        <v>521.3</v>
      </c>
      <c r="D43" s="41">
        <v>63.9</v>
      </c>
      <c r="E43" s="3">
        <f>D43/D152*100</f>
        <v>0.061206544789972464</v>
      </c>
      <c r="F43" s="3">
        <f>D43/B43*100</f>
        <v>18.38319907940161</v>
      </c>
      <c r="G43" s="3">
        <f t="shared" si="0"/>
        <v>12.25781699597161</v>
      </c>
      <c r="H43" s="41">
        <f t="shared" si="2"/>
        <v>283.70000000000005</v>
      </c>
      <c r="I43" s="41">
        <f t="shared" si="1"/>
        <v>457.4</v>
      </c>
      <c r="J43" s="161"/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1"/>
      <c r="K44" s="158"/>
    </row>
    <row r="45" spans="1:11" ht="18.75" thickBot="1">
      <c r="A45" s="20" t="s">
        <v>45</v>
      </c>
      <c r="B45" s="39">
        <f>982.3+982.3</f>
        <v>1964.6</v>
      </c>
      <c r="C45" s="40">
        <v>2947</v>
      </c>
      <c r="D45" s="41">
        <f>237.1+562.8</f>
        <v>799.9</v>
      </c>
      <c r="E45" s="3">
        <f>D45/D152*100</f>
        <v>0.7661833361110951</v>
      </c>
      <c r="F45" s="3">
        <f>D45/B45*100</f>
        <v>40.71566731141199</v>
      </c>
      <c r="G45" s="3">
        <f aca="true" t="shared" si="5" ref="G45:G76">D45/C45*100</f>
        <v>27.142857142857142</v>
      </c>
      <c r="H45" s="41">
        <f>B45-D45</f>
        <v>1164.6999999999998</v>
      </c>
      <c r="I45" s="41">
        <f aca="true" t="shared" si="6" ref="I45:I77">C45-D45</f>
        <v>2147.1</v>
      </c>
      <c r="J45" s="161"/>
      <c r="K45" s="158"/>
    </row>
    <row r="46" spans="1:11" s="94" customFormat="1" ht="18">
      <c r="A46" s="105" t="s">
        <v>3</v>
      </c>
      <c r="B46" s="130">
        <f>834.5+834.5</f>
        <v>1669</v>
      </c>
      <c r="C46" s="131">
        <v>2503.6</v>
      </c>
      <c r="D46" s="107">
        <f>237.1+551.8</f>
        <v>788.9</v>
      </c>
      <c r="E46" s="109">
        <f>D46/D45*100</f>
        <v>98.62482810351294</v>
      </c>
      <c r="F46" s="109">
        <f aca="true" t="shared" si="7" ref="F46:F74">D46/B46*100</f>
        <v>47.267825044937084</v>
      </c>
      <c r="G46" s="109">
        <f t="shared" si="5"/>
        <v>31.51062470043138</v>
      </c>
      <c r="H46" s="107">
        <f aca="true" t="shared" si="8" ref="H46:H74">B46-D46</f>
        <v>880.1</v>
      </c>
      <c r="I46" s="107">
        <f t="shared" si="6"/>
        <v>1714.6999999999998</v>
      </c>
      <c r="J46" s="161"/>
      <c r="K46" s="158"/>
    </row>
    <row r="47" spans="1:11" s="94" customFormat="1" ht="18" hidden="1">
      <c r="A47" s="105" t="s">
        <v>2</v>
      </c>
      <c r="B47" s="130">
        <v>0</v>
      </c>
      <c r="C47" s="131">
        <v>0</v>
      </c>
      <c r="D47" s="107"/>
      <c r="E47" s="109">
        <f>D47/D45*100</f>
        <v>0</v>
      </c>
      <c r="F47" s="109" t="e">
        <f t="shared" si="7"/>
        <v>#DIV/0!</v>
      </c>
      <c r="G47" s="109" t="e">
        <f t="shared" si="5"/>
        <v>#DIV/0!</v>
      </c>
      <c r="H47" s="107">
        <f t="shared" si="8"/>
        <v>0</v>
      </c>
      <c r="I47" s="107">
        <f t="shared" si="6"/>
        <v>0</v>
      </c>
      <c r="J47" s="161"/>
      <c r="K47" s="158"/>
    </row>
    <row r="48" spans="1:11" s="94" customFormat="1" ht="18">
      <c r="A48" s="105" t="s">
        <v>1</v>
      </c>
      <c r="B48" s="130">
        <v>8.4</v>
      </c>
      <c r="C48" s="131">
        <v>16.4</v>
      </c>
      <c r="D48" s="107"/>
      <c r="E48" s="109">
        <f>D48/D45*100</f>
        <v>0</v>
      </c>
      <c r="F48" s="109">
        <f t="shared" si="7"/>
        <v>0</v>
      </c>
      <c r="G48" s="109">
        <f t="shared" si="5"/>
        <v>0</v>
      </c>
      <c r="H48" s="107">
        <f t="shared" si="8"/>
        <v>8.4</v>
      </c>
      <c r="I48" s="107">
        <f t="shared" si="6"/>
        <v>16.4</v>
      </c>
      <c r="J48" s="161"/>
      <c r="K48" s="158"/>
    </row>
    <row r="49" spans="1:11" s="94" customFormat="1" ht="18">
      <c r="A49" s="105" t="s">
        <v>0</v>
      </c>
      <c r="B49" s="130">
        <f>137.5+130.1</f>
        <v>267.6</v>
      </c>
      <c r="C49" s="131">
        <v>398.2</v>
      </c>
      <c r="D49" s="107">
        <v>7.3</v>
      </c>
      <c r="E49" s="109">
        <f>D49/D45*100</f>
        <v>0.9126140767595949</v>
      </c>
      <c r="F49" s="109">
        <f t="shared" si="7"/>
        <v>2.7279521674140503</v>
      </c>
      <c r="G49" s="109">
        <f t="shared" si="5"/>
        <v>1.8332496233048718</v>
      </c>
      <c r="H49" s="107">
        <f t="shared" si="8"/>
        <v>260.3</v>
      </c>
      <c r="I49" s="107">
        <f t="shared" si="6"/>
        <v>390.9</v>
      </c>
      <c r="J49" s="161"/>
      <c r="K49" s="158"/>
    </row>
    <row r="50" spans="1:11" s="94" customFormat="1" ht="18.75" thickBot="1">
      <c r="A50" s="105" t="s">
        <v>28</v>
      </c>
      <c r="B50" s="131">
        <f>B45-B46-B49-B48-B47</f>
        <v>19.599999999999888</v>
      </c>
      <c r="C50" s="131">
        <f>C45-C46-C49-C48-C47</f>
        <v>28.800000000000104</v>
      </c>
      <c r="D50" s="131">
        <f>D45-D46-D49-D48-D47</f>
        <v>3.7</v>
      </c>
      <c r="E50" s="109">
        <f>D50/D45*100</f>
        <v>0.4625578197274659</v>
      </c>
      <c r="F50" s="109">
        <f t="shared" si="7"/>
        <v>18.877551020408273</v>
      </c>
      <c r="G50" s="109">
        <f t="shared" si="5"/>
        <v>12.847222222222177</v>
      </c>
      <c r="H50" s="107">
        <f t="shared" si="8"/>
        <v>15.899999999999888</v>
      </c>
      <c r="I50" s="107">
        <f t="shared" si="6"/>
        <v>25.100000000000104</v>
      </c>
      <c r="J50" s="161"/>
      <c r="K50" s="158"/>
    </row>
    <row r="51" spans="1:11" ht="18.75" thickBot="1">
      <c r="A51" s="20" t="s">
        <v>4</v>
      </c>
      <c r="B51" s="39">
        <f>2152.8-3+2155.8</f>
        <v>4305.6</v>
      </c>
      <c r="C51" s="40">
        <v>6458.5</v>
      </c>
      <c r="D51" s="41">
        <f>632.9+35.2+911.5+180.2+1</f>
        <v>1760.8</v>
      </c>
      <c r="E51" s="3">
        <f>D51/D152*100</f>
        <v>1.6865803453236856</v>
      </c>
      <c r="F51" s="3">
        <f>D51/B51*100</f>
        <v>40.895577852099585</v>
      </c>
      <c r="G51" s="3">
        <f t="shared" si="5"/>
        <v>27.263296431059842</v>
      </c>
      <c r="H51" s="41">
        <f>B51-D51</f>
        <v>2544.8</v>
      </c>
      <c r="I51" s="41">
        <f t="shared" si="6"/>
        <v>4697.7</v>
      </c>
      <c r="J51" s="161"/>
      <c r="K51" s="158"/>
    </row>
    <row r="52" spans="1:11" s="94" customFormat="1" ht="18">
      <c r="A52" s="105" t="s">
        <v>3</v>
      </c>
      <c r="B52" s="130">
        <f>1512.6+1502.4</f>
        <v>3015</v>
      </c>
      <c r="C52" s="131">
        <v>4517.5</v>
      </c>
      <c r="D52" s="107">
        <f>632.9+34.3+767.3</f>
        <v>1434.5</v>
      </c>
      <c r="E52" s="109">
        <f>D52/D51*100</f>
        <v>81.46865061335757</v>
      </c>
      <c r="F52" s="109">
        <f t="shared" si="7"/>
        <v>47.578772802653404</v>
      </c>
      <c r="G52" s="109">
        <f t="shared" si="5"/>
        <v>31.754288876591037</v>
      </c>
      <c r="H52" s="107">
        <f t="shared" si="8"/>
        <v>1580.5</v>
      </c>
      <c r="I52" s="107">
        <f t="shared" si="6"/>
        <v>3083</v>
      </c>
      <c r="J52" s="161"/>
      <c r="K52" s="158"/>
    </row>
    <row r="53" spans="1:11" s="94" customFormat="1" ht="18">
      <c r="A53" s="105" t="s">
        <v>2</v>
      </c>
      <c r="B53" s="130">
        <v>0</v>
      </c>
      <c r="C53" s="131">
        <v>0</v>
      </c>
      <c r="D53" s="107"/>
      <c r="E53" s="109">
        <f>D53/D51*100</f>
        <v>0</v>
      </c>
      <c r="F53" s="109" t="e">
        <f>D53/B53*100</f>
        <v>#DIV/0!</v>
      </c>
      <c r="G53" s="109" t="e">
        <f t="shared" si="5"/>
        <v>#DIV/0!</v>
      </c>
      <c r="H53" s="107">
        <f t="shared" si="8"/>
        <v>0</v>
      </c>
      <c r="I53" s="107">
        <f t="shared" si="6"/>
        <v>0</v>
      </c>
      <c r="J53" s="161"/>
      <c r="K53" s="158"/>
    </row>
    <row r="54" spans="1:11" s="94" customFormat="1" ht="18">
      <c r="A54" s="105" t="s">
        <v>1</v>
      </c>
      <c r="B54" s="130">
        <f>31.6+27.1</f>
        <v>58.7</v>
      </c>
      <c r="C54" s="131">
        <v>96.3</v>
      </c>
      <c r="D54" s="107">
        <v>0.2</v>
      </c>
      <c r="E54" s="109">
        <f>D54/D51*100</f>
        <v>0.011358473421172195</v>
      </c>
      <c r="F54" s="109">
        <f t="shared" si="7"/>
        <v>0.34071550255536626</v>
      </c>
      <c r="G54" s="109">
        <f t="shared" si="5"/>
        <v>0.20768431983385258</v>
      </c>
      <c r="H54" s="107">
        <f t="shared" si="8"/>
        <v>58.5</v>
      </c>
      <c r="I54" s="107">
        <f t="shared" si="6"/>
        <v>96.1</v>
      </c>
      <c r="J54" s="161"/>
      <c r="K54" s="158"/>
    </row>
    <row r="55" spans="1:11" s="94" customFormat="1" ht="18">
      <c r="A55" s="105" t="s">
        <v>0</v>
      </c>
      <c r="B55" s="130">
        <f>87.1+110.1</f>
        <v>197.2</v>
      </c>
      <c r="C55" s="131">
        <v>290.8</v>
      </c>
      <c r="D55" s="107">
        <f>0.5+1</f>
        <v>1.5</v>
      </c>
      <c r="E55" s="109">
        <f>D55/D51*100</f>
        <v>0.08518855065879145</v>
      </c>
      <c r="F55" s="109">
        <f t="shared" si="7"/>
        <v>0.7606490872210954</v>
      </c>
      <c r="G55" s="109">
        <f t="shared" si="5"/>
        <v>0.515818431911967</v>
      </c>
      <c r="H55" s="107">
        <f t="shared" si="8"/>
        <v>195.7</v>
      </c>
      <c r="I55" s="107">
        <f t="shared" si="6"/>
        <v>289.3</v>
      </c>
      <c r="J55" s="161"/>
      <c r="K55" s="158"/>
    </row>
    <row r="56" spans="1:11" s="94" customFormat="1" ht="18">
      <c r="A56" s="105" t="s">
        <v>14</v>
      </c>
      <c r="B56" s="130">
        <f>110+110</f>
        <v>220</v>
      </c>
      <c r="C56" s="131">
        <v>330</v>
      </c>
      <c r="D56" s="131">
        <v>0</v>
      </c>
      <c r="E56" s="109">
        <f>D56/D51*100</f>
        <v>0</v>
      </c>
      <c r="F56" s="109">
        <f>D56/B56*100</f>
        <v>0</v>
      </c>
      <c r="G56" s="109">
        <f>D56/C56*100</f>
        <v>0</v>
      </c>
      <c r="H56" s="107">
        <f t="shared" si="8"/>
        <v>220</v>
      </c>
      <c r="I56" s="107">
        <f t="shared" si="6"/>
        <v>330</v>
      </c>
      <c r="J56" s="161"/>
      <c r="K56" s="158"/>
    </row>
    <row r="57" spans="1:11" s="94" customFormat="1" ht="18.75" thickBot="1">
      <c r="A57" s="105" t="s">
        <v>28</v>
      </c>
      <c r="B57" s="131">
        <f>B51-B52-B55-B54-B53-B56</f>
        <v>814.7000000000003</v>
      </c>
      <c r="C57" s="131">
        <f>C51-C52-C55-C54-C53-C56</f>
        <v>1223.9</v>
      </c>
      <c r="D57" s="131">
        <f>D51-D52-D55-D54-D53-D56</f>
        <v>324.59999999999997</v>
      </c>
      <c r="E57" s="109">
        <f>D57/D51*100</f>
        <v>18.43480236256247</v>
      </c>
      <c r="F57" s="109">
        <f t="shared" si="7"/>
        <v>39.84288695225234</v>
      </c>
      <c r="G57" s="109">
        <f t="shared" si="5"/>
        <v>26.52177465479205</v>
      </c>
      <c r="H57" s="107">
        <f>B57-D57</f>
        <v>490.1000000000003</v>
      </c>
      <c r="I57" s="107">
        <f>C57-D57</f>
        <v>899.3000000000002</v>
      </c>
      <c r="J57" s="161"/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2"/>
      <c r="K58" s="158">
        <f>C58-B58</f>
        <v>0</v>
      </c>
    </row>
    <row r="59" spans="1:11" ht="18.75" thickBot="1">
      <c r="A59" s="20" t="s">
        <v>6</v>
      </c>
      <c r="B59" s="39">
        <f>366.5-0.7+354.5</f>
        <v>720.3</v>
      </c>
      <c r="C59" s="40">
        <v>1077.7</v>
      </c>
      <c r="D59" s="41">
        <f>87.7+79.1+87.8</f>
        <v>254.60000000000002</v>
      </c>
      <c r="E59" s="3">
        <f>D59/D152*100</f>
        <v>0.24386833025863836</v>
      </c>
      <c r="F59" s="3">
        <f>D59/B59*100</f>
        <v>35.346383451339726</v>
      </c>
      <c r="G59" s="3">
        <f t="shared" si="5"/>
        <v>23.624385264916025</v>
      </c>
      <c r="H59" s="41">
        <f>B59-D59</f>
        <v>465.69999999999993</v>
      </c>
      <c r="I59" s="41">
        <f t="shared" si="6"/>
        <v>823.1</v>
      </c>
      <c r="J59" s="161"/>
      <c r="K59" s="158"/>
    </row>
    <row r="60" spans="1:11" s="94" customFormat="1" ht="18">
      <c r="A60" s="105" t="s">
        <v>3</v>
      </c>
      <c r="B60" s="130">
        <f>247.2+238.9</f>
        <v>486.1</v>
      </c>
      <c r="C60" s="131">
        <v>724.9</v>
      </c>
      <c r="D60" s="107">
        <f>77.7+79.1+76.9</f>
        <v>233.70000000000002</v>
      </c>
      <c r="E60" s="109">
        <f>D60/D59*100</f>
        <v>91.7910447761194</v>
      </c>
      <c r="F60" s="109">
        <f t="shared" si="7"/>
        <v>48.07652746348488</v>
      </c>
      <c r="G60" s="109">
        <f t="shared" si="5"/>
        <v>32.238929507518286</v>
      </c>
      <c r="H60" s="107">
        <f t="shared" si="8"/>
        <v>252.4</v>
      </c>
      <c r="I60" s="107">
        <f t="shared" si="6"/>
        <v>491.19999999999993</v>
      </c>
      <c r="J60" s="161"/>
      <c r="K60" s="158"/>
    </row>
    <row r="61" spans="1:11" s="94" customFormat="1" ht="18">
      <c r="A61" s="105" t="s">
        <v>1</v>
      </c>
      <c r="B61" s="130">
        <v>0</v>
      </c>
      <c r="C61" s="131">
        <v>0</v>
      </c>
      <c r="D61" s="107"/>
      <c r="E61" s="109">
        <f>D61/D59*100</f>
        <v>0</v>
      </c>
      <c r="F61" s="109" t="e">
        <f>D61/B61*100</f>
        <v>#DIV/0!</v>
      </c>
      <c r="G61" s="109" t="e">
        <f t="shared" si="5"/>
        <v>#DIV/0!</v>
      </c>
      <c r="H61" s="107">
        <f t="shared" si="8"/>
        <v>0</v>
      </c>
      <c r="I61" s="107">
        <f t="shared" si="6"/>
        <v>0</v>
      </c>
      <c r="J61" s="161"/>
      <c r="K61" s="158"/>
    </row>
    <row r="62" spans="1:11" s="94" customFormat="1" ht="18">
      <c r="A62" s="105" t="s">
        <v>0</v>
      </c>
      <c r="B62" s="130">
        <f>103.2+110.5</f>
        <v>213.7</v>
      </c>
      <c r="C62" s="131">
        <v>322.2</v>
      </c>
      <c r="D62" s="107">
        <v>10.9</v>
      </c>
      <c r="E62" s="109">
        <f>D62/D59*100</f>
        <v>4.281225451688924</v>
      </c>
      <c r="F62" s="109">
        <f t="shared" si="7"/>
        <v>5.100608329433786</v>
      </c>
      <c r="G62" s="109">
        <f t="shared" si="5"/>
        <v>3.382991930477964</v>
      </c>
      <c r="H62" s="107">
        <f t="shared" si="8"/>
        <v>202.79999999999998</v>
      </c>
      <c r="I62" s="107">
        <f t="shared" si="6"/>
        <v>311.3</v>
      </c>
      <c r="J62" s="161"/>
      <c r="K62" s="158"/>
    </row>
    <row r="63" spans="1:11" s="94" customFormat="1" ht="18">
      <c r="A63" s="105" t="s">
        <v>14</v>
      </c>
      <c r="B63" s="130">
        <v>0</v>
      </c>
      <c r="C63" s="131">
        <v>0</v>
      </c>
      <c r="D63" s="107"/>
      <c r="E63" s="109">
        <f>D63/D59*100</f>
        <v>0</v>
      </c>
      <c r="F63" s="109" t="e">
        <f t="shared" si="7"/>
        <v>#DIV/0!</v>
      </c>
      <c r="G63" s="109" t="e">
        <f t="shared" si="5"/>
        <v>#DIV/0!</v>
      </c>
      <c r="H63" s="107">
        <f t="shared" si="8"/>
        <v>0</v>
      </c>
      <c r="I63" s="107">
        <f t="shared" si="6"/>
        <v>0</v>
      </c>
      <c r="J63" s="161"/>
      <c r="K63" s="158"/>
    </row>
    <row r="64" spans="1:11" s="94" customFormat="1" ht="18.75" thickBot="1">
      <c r="A64" s="105" t="s">
        <v>28</v>
      </c>
      <c r="B64" s="131">
        <f>B59-B60-B62-B63-B61</f>
        <v>20.499999999999943</v>
      </c>
      <c r="C64" s="131">
        <f>C59-C60-C62-C63-C61</f>
        <v>30.60000000000008</v>
      </c>
      <c r="D64" s="131">
        <f>D59-D60-D62-D63-D61</f>
        <v>10.000000000000005</v>
      </c>
      <c r="E64" s="109">
        <f>D64/D59*100</f>
        <v>3.9277297721916753</v>
      </c>
      <c r="F64" s="109">
        <f t="shared" si="7"/>
        <v>48.780487804878206</v>
      </c>
      <c r="G64" s="109">
        <f t="shared" si="5"/>
        <v>32.67973856209144</v>
      </c>
      <c r="H64" s="107">
        <f t="shared" si="8"/>
        <v>10.499999999999938</v>
      </c>
      <c r="I64" s="107">
        <f t="shared" si="6"/>
        <v>20.600000000000072</v>
      </c>
      <c r="J64" s="161"/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2"/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2"/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2"/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2"/>
      <c r="K68" s="158">
        <f>C68-B68</f>
        <v>0</v>
      </c>
    </row>
    <row r="69" spans="1:11" ht="18.75" thickBot="1">
      <c r="A69" s="20" t="s">
        <v>20</v>
      </c>
      <c r="B69" s="40">
        <f>B70+B71</f>
        <v>61.2</v>
      </c>
      <c r="C69" s="40">
        <f>C70+C71</f>
        <v>91.9</v>
      </c>
      <c r="D69" s="41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1">
        <f>B69-D69</f>
        <v>61.2</v>
      </c>
      <c r="I69" s="41">
        <f t="shared" si="6"/>
        <v>91.9</v>
      </c>
      <c r="J69" s="161"/>
      <c r="K69" s="158"/>
    </row>
    <row r="70" spans="1:11" s="94" customFormat="1" ht="18">
      <c r="A70" s="105" t="s">
        <v>8</v>
      </c>
      <c r="B70" s="130"/>
      <c r="C70" s="131"/>
      <c r="D70" s="107"/>
      <c r="E70" s="109" t="e">
        <f>D70/D69*100</f>
        <v>#DIV/0!</v>
      </c>
      <c r="F70" s="109" t="e">
        <f t="shared" si="7"/>
        <v>#DIV/0!</v>
      </c>
      <c r="G70" s="109" t="e">
        <f t="shared" si="5"/>
        <v>#DIV/0!</v>
      </c>
      <c r="H70" s="107">
        <f t="shared" si="8"/>
        <v>0</v>
      </c>
      <c r="I70" s="107">
        <f t="shared" si="6"/>
        <v>0</v>
      </c>
      <c r="J70" s="161"/>
      <c r="K70" s="158"/>
    </row>
    <row r="71" spans="1:11" s="94" customFormat="1" ht="18.75" thickBot="1">
      <c r="A71" s="105" t="s">
        <v>9</v>
      </c>
      <c r="B71" s="130">
        <f>30.6+30.6</f>
        <v>61.2</v>
      </c>
      <c r="C71" s="131">
        <v>91.9</v>
      </c>
      <c r="D71" s="107"/>
      <c r="E71" s="109" t="e">
        <f>D71/D70*100</f>
        <v>#DIV/0!</v>
      </c>
      <c r="F71" s="109">
        <f t="shared" si="7"/>
        <v>0</v>
      </c>
      <c r="G71" s="109">
        <f t="shared" si="5"/>
        <v>0</v>
      </c>
      <c r="H71" s="107">
        <f t="shared" si="8"/>
        <v>61.2</v>
      </c>
      <c r="I71" s="107">
        <f t="shared" si="6"/>
        <v>91.9</v>
      </c>
      <c r="J71" s="161"/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1"/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1"/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1"/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1"/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1"/>
      <c r="K76" s="158"/>
    </row>
    <row r="77" spans="1:11" s="32" customFormat="1" ht="18.75" thickBot="1">
      <c r="A77" s="23" t="s">
        <v>13</v>
      </c>
      <c r="B77" s="47">
        <f>76.1-25.2+101.3</f>
        <v>152.2</v>
      </c>
      <c r="C77" s="54">
        <v>228.2</v>
      </c>
      <c r="D77" s="55"/>
      <c r="E77" s="35"/>
      <c r="F77" s="35"/>
      <c r="G77" s="35"/>
      <c r="H77" s="55">
        <f>B77-D77</f>
        <v>152.2</v>
      </c>
      <c r="I77" s="55">
        <f t="shared" si="6"/>
        <v>228.2</v>
      </c>
      <c r="J77" s="162"/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1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1"/>
      <c r="K79" s="158"/>
    </row>
    <row r="80" spans="1:11" s="8" customFormat="1" ht="18" hidden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63"/>
      <c r="K80" s="158"/>
    </row>
    <row r="81" spans="1:11" s="8" customFormat="1" ht="32.25" hidden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63"/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63"/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63"/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D84/D152*100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1"/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1"/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1"/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D87/D152*100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1"/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1"/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1"/>
      <c r="K89" s="158"/>
    </row>
    <row r="90" spans="1:11" ht="18.75" thickBot="1">
      <c r="A90" s="12" t="s">
        <v>10</v>
      </c>
      <c r="B90" s="46">
        <f>13364.7-393.5-16.7+25.2+29.8+328.3+12601</f>
        <v>25938.8</v>
      </c>
      <c r="C90" s="40">
        <f>40094.1-1180.6-50</f>
        <v>38863.5</v>
      </c>
      <c r="D90" s="41">
        <f>3076.1+1190.1+85.4+19.6+5.2+812.5+1196.5+4.7+5442.2+898.8+0.6+38.7+164.7</f>
        <v>12935.1</v>
      </c>
      <c r="E90" s="3">
        <f>D90/D152*100</f>
        <v>12.389871322578605</v>
      </c>
      <c r="F90" s="3">
        <f aca="true" t="shared" si="11" ref="F90:F96">D90/B90*100</f>
        <v>49.86776566379324</v>
      </c>
      <c r="G90" s="3">
        <f t="shared" si="9"/>
        <v>33.28341502952642</v>
      </c>
      <c r="H90" s="41">
        <f aca="true" t="shared" si="12" ref="H90:H96">B90-D90</f>
        <v>13003.699999999999</v>
      </c>
      <c r="I90" s="41">
        <f t="shared" si="10"/>
        <v>25928.4</v>
      </c>
      <c r="J90" s="161"/>
      <c r="K90" s="158"/>
    </row>
    <row r="91" spans="1:11" s="94" customFormat="1" ht="18">
      <c r="A91" s="105" t="s">
        <v>3</v>
      </c>
      <c r="B91" s="130">
        <f>25+12517.8+27.4+362.7+12060.1</f>
        <v>24993</v>
      </c>
      <c r="C91" s="131">
        <v>37361.9</v>
      </c>
      <c r="D91" s="107">
        <f>3071.3+1190.01+77.9+810.1+1179.1+5434.9+841.3+37+143.9</f>
        <v>12785.509999999998</v>
      </c>
      <c r="E91" s="109">
        <f>D91/D90*100</f>
        <v>98.84353425949547</v>
      </c>
      <c r="F91" s="109">
        <f t="shared" si="11"/>
        <v>51.156363781858914</v>
      </c>
      <c r="G91" s="109">
        <f t="shared" si="9"/>
        <v>34.22071682649972</v>
      </c>
      <c r="H91" s="107">
        <f t="shared" si="12"/>
        <v>12207.490000000002</v>
      </c>
      <c r="I91" s="107">
        <f t="shared" si="10"/>
        <v>24576.390000000003</v>
      </c>
      <c r="J91" s="161"/>
      <c r="K91" s="158"/>
    </row>
    <row r="92" spans="1:11" s="94" customFormat="1" ht="18">
      <c r="A92" s="105" t="s">
        <v>26</v>
      </c>
      <c r="B92" s="130">
        <f>171+171</f>
        <v>342</v>
      </c>
      <c r="C92" s="131">
        <v>513.1</v>
      </c>
      <c r="D92" s="107">
        <v>57.2</v>
      </c>
      <c r="E92" s="109">
        <f>D92/D90*100</f>
        <v>0.4422076365857241</v>
      </c>
      <c r="F92" s="109">
        <f t="shared" si="11"/>
        <v>16.72514619883041</v>
      </c>
      <c r="G92" s="109">
        <f t="shared" si="9"/>
        <v>11.147924381212238</v>
      </c>
      <c r="H92" s="107">
        <f t="shared" si="12"/>
        <v>284.8</v>
      </c>
      <c r="I92" s="107">
        <f t="shared" si="10"/>
        <v>455.90000000000003</v>
      </c>
      <c r="J92" s="161"/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J93" s="161"/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603.7999999999993</v>
      </c>
      <c r="C94" s="131">
        <f>C90-C91-C92-C93</f>
        <v>988.4999999999985</v>
      </c>
      <c r="D94" s="131">
        <f>D90-D91-D92-D93</f>
        <v>92.39000000000196</v>
      </c>
      <c r="E94" s="109">
        <f>D94/D90*100</f>
        <v>0.7142581039188097</v>
      </c>
      <c r="F94" s="109">
        <f t="shared" si="11"/>
        <v>15.301424312686663</v>
      </c>
      <c r="G94" s="109">
        <f>D94/C94*100</f>
        <v>9.346484572584938</v>
      </c>
      <c r="H94" s="107">
        <f t="shared" si="12"/>
        <v>511.4099999999973</v>
      </c>
      <c r="I94" s="107">
        <f>C94-D94</f>
        <v>896.1099999999966</v>
      </c>
      <c r="J94" s="161"/>
      <c r="K94" s="158"/>
    </row>
    <row r="95" spans="1:11" ht="18">
      <c r="A95" s="83" t="s">
        <v>12</v>
      </c>
      <c r="B95" s="92">
        <f>2841.3-97.3+528.7+2938.6</f>
        <v>6211.299999999999</v>
      </c>
      <c r="C95" s="86">
        <v>8523.8</v>
      </c>
      <c r="D95" s="85">
        <f>627.6+194.6+194.6+1234+510.7</f>
        <v>2761.5</v>
      </c>
      <c r="E95" s="82">
        <f>D95/D152*100</f>
        <v>2.6450997408060872</v>
      </c>
      <c r="F95" s="84">
        <f t="shared" si="11"/>
        <v>44.45929193566565</v>
      </c>
      <c r="G95" s="81">
        <f>D95/C95*100</f>
        <v>32.39752223186842</v>
      </c>
      <c r="H95" s="85">
        <f t="shared" si="12"/>
        <v>3449.7999999999993</v>
      </c>
      <c r="I95" s="88">
        <f>C95-D95</f>
        <v>5762.299999999999</v>
      </c>
      <c r="J95" s="161"/>
      <c r="K95" s="158"/>
    </row>
    <row r="96" spans="1:11" s="94" customFormat="1" ht="18.75" thickBot="1">
      <c r="A96" s="133" t="s">
        <v>84</v>
      </c>
      <c r="B96" s="134">
        <f>967.9-67.9+528.7+1035.8</f>
        <v>2464.5</v>
      </c>
      <c r="C96" s="135">
        <v>2903.7</v>
      </c>
      <c r="D96" s="136">
        <f>194.6+1234+3.4</f>
        <v>1432</v>
      </c>
      <c r="E96" s="137">
        <f>D96/D95*100</f>
        <v>51.855875430019914</v>
      </c>
      <c r="F96" s="138">
        <f t="shared" si="11"/>
        <v>58.10509231081355</v>
      </c>
      <c r="G96" s="139">
        <f>D96/C96*100</f>
        <v>49.3163894341702</v>
      </c>
      <c r="H96" s="140">
        <f t="shared" si="12"/>
        <v>1032.5</v>
      </c>
      <c r="I96" s="129">
        <f>C96-D96</f>
        <v>1471.6999999999998</v>
      </c>
      <c r="J96" s="161"/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1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D98/D152*100</f>
        <v>0</v>
      </c>
      <c r="F98" s="3"/>
      <c r="G98" s="3" t="e">
        <f>D98/C98*100</f>
        <v>#DIV/0!</v>
      </c>
      <c r="H98" s="41"/>
      <c r="I98" s="41">
        <f>C98-D98</f>
        <v>0</v>
      </c>
      <c r="J98" s="161"/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1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4"/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1"/>
      <c r="K101" s="158">
        <f t="shared" si="13"/>
        <v>0</v>
      </c>
    </row>
    <row r="102" spans="1:11" s="32" customFormat="1" ht="18.75" thickBot="1">
      <c r="A102" s="12" t="s">
        <v>11</v>
      </c>
      <c r="B102" s="91">
        <f>866.7+879.3</f>
        <v>1746</v>
      </c>
      <c r="C102" s="71">
        <v>2621.7</v>
      </c>
      <c r="D102" s="66">
        <f>144.5+120.5+0.1+30.9</f>
        <v>296</v>
      </c>
      <c r="E102" s="17">
        <f>D102/D152*100</f>
        <v>0.2835232747704515</v>
      </c>
      <c r="F102" s="17">
        <f>D102/B102*100</f>
        <v>16.95303550973654</v>
      </c>
      <c r="G102" s="17">
        <f aca="true" t="shared" si="14" ref="G102:G150">D102/C102*100</f>
        <v>11.290384101918603</v>
      </c>
      <c r="H102" s="66">
        <f aca="true" t="shared" si="15" ref="H102:H107">B102-D102</f>
        <v>1450</v>
      </c>
      <c r="I102" s="66">
        <f aca="true" t="shared" si="16" ref="I102:I150">C102-D102</f>
        <v>2325.7</v>
      </c>
      <c r="J102" s="162"/>
      <c r="K102" s="158"/>
    </row>
    <row r="103" spans="1:11" s="94" customFormat="1" ht="18.75" customHeight="1" hidden="1">
      <c r="A103" s="105" t="s">
        <v>3</v>
      </c>
      <c r="B103" s="122">
        <v>0</v>
      </c>
      <c r="C103" s="123">
        <v>0</v>
      </c>
      <c r="D103" s="123"/>
      <c r="E103" s="124">
        <f>D103/D102*100</f>
        <v>0</v>
      </c>
      <c r="F103" s="109" t="e">
        <f>D103/B103*100</f>
        <v>#DIV/0!</v>
      </c>
      <c r="G103" s="124" t="e">
        <f>D103/C103*100</f>
        <v>#DIV/0!</v>
      </c>
      <c r="H103" s="123">
        <f t="shared" si="15"/>
        <v>0</v>
      </c>
      <c r="I103" s="123">
        <f t="shared" si="16"/>
        <v>0</v>
      </c>
      <c r="J103" s="161"/>
      <c r="K103" s="158"/>
    </row>
    <row r="104" spans="1:11" s="94" customFormat="1" ht="18">
      <c r="A104" s="125" t="s">
        <v>49</v>
      </c>
      <c r="B104" s="106">
        <f>565.6+725.5</f>
        <v>1291.1</v>
      </c>
      <c r="C104" s="107">
        <v>1703.5</v>
      </c>
      <c r="D104" s="107">
        <f>144.4+120.5+0.1+30.9</f>
        <v>295.9</v>
      </c>
      <c r="E104" s="109">
        <f>D104/D102*100</f>
        <v>99.96621621621621</v>
      </c>
      <c r="F104" s="109">
        <f aca="true" t="shared" si="17" ref="F104:F150">D104/B104*100</f>
        <v>22.918441638912554</v>
      </c>
      <c r="G104" s="109">
        <f t="shared" si="14"/>
        <v>17.370120340475488</v>
      </c>
      <c r="H104" s="107">
        <f t="shared" si="15"/>
        <v>995.1999999999999</v>
      </c>
      <c r="I104" s="107">
        <f t="shared" si="16"/>
        <v>1407.6</v>
      </c>
      <c r="J104" s="161"/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J105" s="161"/>
      <c r="K105" s="158"/>
    </row>
    <row r="106" spans="1:11" s="94" customFormat="1" ht="18.75" thickBot="1">
      <c r="A106" s="126" t="s">
        <v>28</v>
      </c>
      <c r="B106" s="127">
        <f>B102-B103-B104</f>
        <v>454.9000000000001</v>
      </c>
      <c r="C106" s="127">
        <f>C102-C103-C104</f>
        <v>918.1999999999998</v>
      </c>
      <c r="D106" s="127">
        <f>D102-D103-D104</f>
        <v>0.10000000000002274</v>
      </c>
      <c r="E106" s="128">
        <f>D106/D102*100</f>
        <v>0.03378378378379147</v>
      </c>
      <c r="F106" s="128">
        <f t="shared" si="17"/>
        <v>0.021982853374372988</v>
      </c>
      <c r="G106" s="128">
        <f t="shared" si="14"/>
        <v>0.010890873448053012</v>
      </c>
      <c r="H106" s="129">
        <f>B106-D106</f>
        <v>454.80000000000007</v>
      </c>
      <c r="I106" s="129">
        <f t="shared" si="16"/>
        <v>918.0999999999998</v>
      </c>
      <c r="J106" s="161"/>
      <c r="K106" s="158"/>
    </row>
    <row r="107" spans="1:12" s="2" customFormat="1" ht="26.25" customHeight="1" thickBot="1">
      <c r="A107" s="67" t="s">
        <v>29</v>
      </c>
      <c r="B107" s="68">
        <f>SUM(B108:B149)-B115-B119+B150-B140-B141-B109-B112-B122-B123-B138-B131-B129-B136</f>
        <v>22203.5</v>
      </c>
      <c r="C107" s="68">
        <f>SUM(C108:C149)-C115-C119+C150-C140-C141-C109-C112-C122-C123-C138-C131-C129-C136</f>
        <v>31564.5</v>
      </c>
      <c r="D107" s="68">
        <f>SUM(D108:D149)-D115-D119+D150-D140-D141-D109-D112-D122-D123-D138-D131-D129-D136</f>
        <v>7956.799999999999</v>
      </c>
      <c r="E107" s="69">
        <f>D107/D152*100</f>
        <v>7.621412137478136</v>
      </c>
      <c r="F107" s="69">
        <f>D107/B107*100</f>
        <v>35.835791654468885</v>
      </c>
      <c r="G107" s="69">
        <f t="shared" si="14"/>
        <v>25.2080660235391</v>
      </c>
      <c r="H107" s="68">
        <f t="shared" si="15"/>
        <v>14246.7</v>
      </c>
      <c r="I107" s="68">
        <f t="shared" si="16"/>
        <v>23607.7</v>
      </c>
      <c r="J107" s="160"/>
      <c r="K107" s="158"/>
      <c r="L107" s="97"/>
    </row>
    <row r="108" spans="1:12" s="94" customFormat="1" ht="36.75">
      <c r="A108" s="98" t="s">
        <v>53</v>
      </c>
      <c r="B108" s="99">
        <f>393.5+393.5</f>
        <v>787</v>
      </c>
      <c r="C108" s="100">
        <v>1180.6</v>
      </c>
      <c r="D108" s="101">
        <f>17.1+81.1</f>
        <v>98.19999999999999</v>
      </c>
      <c r="E108" s="102">
        <f>D108/D107*100</f>
        <v>1.2341644882364768</v>
      </c>
      <c r="F108" s="102">
        <f t="shared" si="17"/>
        <v>12.477763659466326</v>
      </c>
      <c r="G108" s="102">
        <f t="shared" si="14"/>
        <v>8.317804506183297</v>
      </c>
      <c r="H108" s="103">
        <f aca="true" t="shared" si="18" ref="H108:H150">B108-D108</f>
        <v>688.8</v>
      </c>
      <c r="I108" s="103">
        <f t="shared" si="16"/>
        <v>1082.3999999999999</v>
      </c>
      <c r="K108" s="158"/>
      <c r="L108" s="104"/>
    </row>
    <row r="109" spans="1:12" s="94" customFormat="1" ht="18">
      <c r="A109" s="105" t="s">
        <v>26</v>
      </c>
      <c r="B109" s="106">
        <f>175.8+175.8</f>
        <v>351.6</v>
      </c>
      <c r="C109" s="107">
        <v>527.5</v>
      </c>
      <c r="D109" s="108">
        <v>47.8</v>
      </c>
      <c r="E109" s="109">
        <f>D109/D108*100</f>
        <v>48.676171079429736</v>
      </c>
      <c r="F109" s="109">
        <f t="shared" si="17"/>
        <v>13.594994311717858</v>
      </c>
      <c r="G109" s="109">
        <f t="shared" si="14"/>
        <v>9.061611374407583</v>
      </c>
      <c r="H109" s="107">
        <f t="shared" si="18"/>
        <v>303.8</v>
      </c>
      <c r="I109" s="107">
        <f t="shared" si="16"/>
        <v>479.7</v>
      </c>
      <c r="K109" s="158"/>
      <c r="L109" s="104"/>
    </row>
    <row r="110" spans="1:12" s="94" customFormat="1" ht="34.5" customHeight="1" hidden="1">
      <c r="A110" s="110" t="s">
        <v>79</v>
      </c>
      <c r="B110" s="111"/>
      <c r="C110" s="103"/>
      <c r="D110" s="101"/>
      <c r="E110" s="102">
        <f>D110/D107*100</f>
        <v>0</v>
      </c>
      <c r="F110" s="102" t="e">
        <f>D110/B110*100</f>
        <v>#DIV/0!</v>
      </c>
      <c r="G110" s="102" t="e">
        <f t="shared" si="14"/>
        <v>#DIV/0!</v>
      </c>
      <c r="H110" s="103">
        <f t="shared" si="18"/>
        <v>0</v>
      </c>
      <c r="I110" s="103">
        <f t="shared" si="16"/>
        <v>0</v>
      </c>
      <c r="K110" s="158"/>
      <c r="L110" s="104"/>
    </row>
    <row r="111" spans="1:12" s="95" customFormat="1" ht="34.5" customHeight="1">
      <c r="A111" s="110" t="s">
        <v>94</v>
      </c>
      <c r="B111" s="111">
        <f>3.3+3.3</f>
        <v>6.6</v>
      </c>
      <c r="C111" s="112">
        <v>9.9</v>
      </c>
      <c r="D111" s="113"/>
      <c r="E111" s="102">
        <f>D111/D107*100</f>
        <v>0</v>
      </c>
      <c r="F111" s="114">
        <f t="shared" si="17"/>
        <v>0</v>
      </c>
      <c r="G111" s="102">
        <f t="shared" si="14"/>
        <v>0</v>
      </c>
      <c r="H111" s="103">
        <f t="shared" si="18"/>
        <v>6.6</v>
      </c>
      <c r="I111" s="103">
        <f t="shared" si="16"/>
        <v>9.9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 hidden="1">
      <c r="A113" s="110" t="s">
        <v>90</v>
      </c>
      <c r="B113" s="111"/>
      <c r="C113" s="103"/>
      <c r="D113" s="101"/>
      <c r="E113" s="102">
        <f>D113/D107*100</f>
        <v>0</v>
      </c>
      <c r="F113" s="102" t="e">
        <f t="shared" si="17"/>
        <v>#DIV/0!</v>
      </c>
      <c r="G113" s="102" t="e">
        <f t="shared" si="14"/>
        <v>#DIV/0!</v>
      </c>
      <c r="H113" s="103">
        <f t="shared" si="18"/>
        <v>0</v>
      </c>
      <c r="I113" s="103">
        <f t="shared" si="16"/>
        <v>0</v>
      </c>
      <c r="K113" s="158"/>
      <c r="L113" s="104"/>
    </row>
    <row r="114" spans="1:12" s="94" customFormat="1" ht="36.75">
      <c r="A114" s="110" t="s">
        <v>39</v>
      </c>
      <c r="B114" s="111">
        <f>245.3+245.3</f>
        <v>490.6</v>
      </c>
      <c r="C114" s="103">
        <v>735.9</v>
      </c>
      <c r="D114" s="101">
        <f>136.4+10+40+6.6</f>
        <v>193</v>
      </c>
      <c r="E114" s="102">
        <f>D114/D107*100</f>
        <v>2.4255982304444</v>
      </c>
      <c r="F114" s="102">
        <f t="shared" si="17"/>
        <v>39.33958418263351</v>
      </c>
      <c r="G114" s="102">
        <f t="shared" si="14"/>
        <v>26.226389455089006</v>
      </c>
      <c r="H114" s="103">
        <f t="shared" si="18"/>
        <v>297.6</v>
      </c>
      <c r="I114" s="103">
        <f t="shared" si="16"/>
        <v>542.9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91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10.1+10.1</f>
        <v>20.2</v>
      </c>
      <c r="C117" s="103">
        <v>30.3</v>
      </c>
      <c r="D117" s="101"/>
      <c r="E117" s="102">
        <f>D117/D107*100</f>
        <v>0</v>
      </c>
      <c r="F117" s="102">
        <f>D117/B117*100</f>
        <v>0</v>
      </c>
      <c r="G117" s="102">
        <f t="shared" si="14"/>
        <v>0</v>
      </c>
      <c r="H117" s="103">
        <f t="shared" si="18"/>
        <v>20.2</v>
      </c>
      <c r="I117" s="103">
        <f t="shared" si="16"/>
        <v>30.3</v>
      </c>
      <c r="K117" s="158"/>
      <c r="L117" s="104"/>
    </row>
    <row r="118" spans="1:12" s="117" customFormat="1" ht="18">
      <c r="A118" s="110" t="s">
        <v>15</v>
      </c>
      <c r="B118" s="111">
        <f>45.4+45.4</f>
        <v>90.8</v>
      </c>
      <c r="C118" s="112">
        <v>136.2</v>
      </c>
      <c r="D118" s="101">
        <v>45.4</v>
      </c>
      <c r="E118" s="102">
        <f>D118/D107*100</f>
        <v>0.5705811381459883</v>
      </c>
      <c r="F118" s="102">
        <f t="shared" si="17"/>
        <v>50</v>
      </c>
      <c r="G118" s="102">
        <f t="shared" si="14"/>
        <v>33.333333333333336</v>
      </c>
      <c r="H118" s="103">
        <f t="shared" si="18"/>
        <v>45.4</v>
      </c>
      <c r="I118" s="103">
        <f t="shared" si="16"/>
        <v>90.79999999999998</v>
      </c>
      <c r="K118" s="158"/>
      <c r="L118" s="104"/>
    </row>
    <row r="119" spans="1:12" s="118" customFormat="1" ht="18">
      <c r="A119" s="115" t="s">
        <v>44</v>
      </c>
      <c r="B119" s="106">
        <f>43.3+43.3</f>
        <v>86.6</v>
      </c>
      <c r="C119" s="107">
        <v>129.6</v>
      </c>
      <c r="D119" s="108">
        <v>45.4</v>
      </c>
      <c r="E119" s="109">
        <f>D119/D118*100</f>
        <v>100</v>
      </c>
      <c r="F119" s="109">
        <f t="shared" si="17"/>
        <v>52.42494226327945</v>
      </c>
      <c r="G119" s="109">
        <f t="shared" si="14"/>
        <v>35.03086419753087</v>
      </c>
      <c r="H119" s="107">
        <f t="shared" si="18"/>
        <v>41.199999999999996</v>
      </c>
      <c r="I119" s="107">
        <f t="shared" si="16"/>
        <v>84.19999999999999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95</v>
      </c>
      <c r="B121" s="111">
        <f>15.1-8.4+16.8+6.7</f>
        <v>30.2</v>
      </c>
      <c r="C121" s="112">
        <v>45.2</v>
      </c>
      <c r="D121" s="113"/>
      <c r="E121" s="116">
        <f>D121/D107*100</f>
        <v>0</v>
      </c>
      <c r="F121" s="102">
        <f t="shared" si="17"/>
        <v>0</v>
      </c>
      <c r="G121" s="102">
        <f t="shared" si="14"/>
        <v>0</v>
      </c>
      <c r="H121" s="103">
        <f t="shared" si="18"/>
        <v>30.2</v>
      </c>
      <c r="I121" s="103">
        <f t="shared" si="16"/>
        <v>45.2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96</v>
      </c>
      <c r="B124" s="111">
        <f>3529.6+3529.6</f>
        <v>7059.2</v>
      </c>
      <c r="C124" s="112">
        <v>10588.8</v>
      </c>
      <c r="D124" s="113">
        <v>3529.6</v>
      </c>
      <c r="E124" s="116">
        <f>D124/D107*100</f>
        <v>44.35954152423085</v>
      </c>
      <c r="F124" s="102">
        <f t="shared" si="17"/>
        <v>50</v>
      </c>
      <c r="G124" s="102">
        <f t="shared" si="14"/>
        <v>33.333333333333336</v>
      </c>
      <c r="H124" s="103">
        <f t="shared" si="18"/>
        <v>3529.6</v>
      </c>
      <c r="I124" s="103">
        <f t="shared" si="16"/>
        <v>7059.199999999999</v>
      </c>
      <c r="K124" s="158"/>
      <c r="L124" s="104"/>
    </row>
    <row r="125" spans="1:12" s="117" customFormat="1" ht="18">
      <c r="A125" s="110" t="s">
        <v>92</v>
      </c>
      <c r="B125" s="111">
        <f>59.4+59.4</f>
        <v>118.8</v>
      </c>
      <c r="C125" s="112">
        <v>178.2</v>
      </c>
      <c r="D125" s="113"/>
      <c r="E125" s="116">
        <f>D125/D107*100</f>
        <v>0</v>
      </c>
      <c r="F125" s="102">
        <f t="shared" si="17"/>
        <v>0</v>
      </c>
      <c r="G125" s="102">
        <f t="shared" si="14"/>
        <v>0</v>
      </c>
      <c r="H125" s="103">
        <f t="shared" si="18"/>
        <v>118.8</v>
      </c>
      <c r="I125" s="103">
        <f t="shared" si="16"/>
        <v>178.2</v>
      </c>
      <c r="K125" s="158"/>
      <c r="L125" s="104"/>
    </row>
    <row r="126" spans="1:12" s="117" customFormat="1" ht="36.75">
      <c r="A126" s="110" t="s">
        <v>101</v>
      </c>
      <c r="B126" s="111">
        <f>16.7+16.7</f>
        <v>33.4</v>
      </c>
      <c r="C126" s="112">
        <v>50.1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33.4</v>
      </c>
      <c r="I126" s="103">
        <f t="shared" si="16"/>
        <v>50.1</v>
      </c>
      <c r="K126" s="158"/>
      <c r="L126" s="104"/>
    </row>
    <row r="127" spans="1:12" s="117" customFormat="1" ht="36.75">
      <c r="A127" s="110" t="s">
        <v>86</v>
      </c>
      <c r="B127" s="111">
        <f>41.3+41.3</f>
        <v>82.6</v>
      </c>
      <c r="C127" s="112">
        <v>123.9</v>
      </c>
      <c r="D127" s="113"/>
      <c r="E127" s="116">
        <f>D127/D107*100</f>
        <v>0</v>
      </c>
      <c r="F127" s="102">
        <f t="shared" si="17"/>
        <v>0</v>
      </c>
      <c r="G127" s="102">
        <f t="shared" si="14"/>
        <v>0</v>
      </c>
      <c r="H127" s="103">
        <f t="shared" si="18"/>
        <v>82.6</v>
      </c>
      <c r="I127" s="103">
        <f t="shared" si="16"/>
        <v>123.9</v>
      </c>
      <c r="J127" s="160"/>
      <c r="K127" s="158"/>
      <c r="L127" s="104"/>
    </row>
    <row r="128" spans="1:12" s="117" customFormat="1" ht="36.75">
      <c r="A128" s="110" t="s">
        <v>58</v>
      </c>
      <c r="B128" s="111">
        <f>96.1+96.1</f>
        <v>192.2</v>
      </c>
      <c r="C128" s="112">
        <v>288.3</v>
      </c>
      <c r="D128" s="113">
        <f>7+4.2+0.1</f>
        <v>11.299999999999999</v>
      </c>
      <c r="E128" s="116">
        <f>D128/D107*100</f>
        <v>0.14201689121254776</v>
      </c>
      <c r="F128" s="102">
        <f t="shared" si="17"/>
        <v>5.879292403746097</v>
      </c>
      <c r="G128" s="102">
        <f t="shared" si="14"/>
        <v>3.9195282691640645</v>
      </c>
      <c r="H128" s="103">
        <f t="shared" si="18"/>
        <v>180.89999999999998</v>
      </c>
      <c r="I128" s="103">
        <f t="shared" si="16"/>
        <v>277</v>
      </c>
      <c r="K128" s="158"/>
      <c r="L128" s="104"/>
    </row>
    <row r="129" spans="1:12" s="118" customFormat="1" ht="18">
      <c r="A129" s="105" t="s">
        <v>89</v>
      </c>
      <c r="B129" s="106">
        <f>7+51.1</f>
        <v>58.1</v>
      </c>
      <c r="C129" s="107">
        <v>65.2</v>
      </c>
      <c r="D129" s="108">
        <v>7</v>
      </c>
      <c r="E129" s="109">
        <f>D129/D128*100</f>
        <v>61.946902654867266</v>
      </c>
      <c r="F129" s="109">
        <f>D129/B129*100</f>
        <v>12.048192771084338</v>
      </c>
      <c r="G129" s="109">
        <f t="shared" si="14"/>
        <v>10.736196319018404</v>
      </c>
      <c r="H129" s="107">
        <f t="shared" si="18"/>
        <v>51.1</v>
      </c>
      <c r="I129" s="107">
        <f t="shared" si="16"/>
        <v>58.2</v>
      </c>
      <c r="K129" s="158"/>
      <c r="L129" s="104"/>
    </row>
    <row r="130" spans="1:12" s="117" customFormat="1" ht="36.75" hidden="1">
      <c r="A130" s="110" t="s">
        <v>104</v>
      </c>
      <c r="B130" s="111"/>
      <c r="C130" s="112"/>
      <c r="D130" s="113"/>
      <c r="E130" s="116">
        <f>D130/D107*100</f>
        <v>0</v>
      </c>
      <c r="F130" s="114" t="e">
        <f t="shared" si="17"/>
        <v>#DIV/0!</v>
      </c>
      <c r="G130" s="102" t="e">
        <f t="shared" si="14"/>
        <v>#DIV/0!</v>
      </c>
      <c r="H130" s="103">
        <f t="shared" si="18"/>
        <v>0</v>
      </c>
      <c r="I130" s="103">
        <f t="shared" si="16"/>
        <v>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 hidden="1">
      <c r="A132" s="110" t="s">
        <v>103</v>
      </c>
      <c r="B132" s="111"/>
      <c r="C132" s="112"/>
      <c r="D132" s="113"/>
      <c r="E132" s="116">
        <f>D132/D107*100</f>
        <v>0</v>
      </c>
      <c r="F132" s="102" t="e">
        <f t="shared" si="17"/>
        <v>#DIV/0!</v>
      </c>
      <c r="G132" s="102" t="e">
        <f t="shared" si="14"/>
        <v>#DIV/0!</v>
      </c>
      <c r="H132" s="103">
        <f t="shared" si="18"/>
        <v>0</v>
      </c>
      <c r="I132" s="103">
        <f>C132-D132</f>
        <v>0</v>
      </c>
      <c r="K132" s="158"/>
      <c r="L132" s="104"/>
    </row>
    <row r="133" spans="1:12" s="117" customFormat="1" ht="21.75" customHeight="1" hidden="1">
      <c r="A133" s="110" t="s">
        <v>102</v>
      </c>
      <c r="B133" s="111"/>
      <c r="C133" s="112"/>
      <c r="D133" s="113"/>
      <c r="E133" s="116">
        <f>D133/D107*100</f>
        <v>0</v>
      </c>
      <c r="F133" s="102" t="e">
        <f t="shared" si="17"/>
        <v>#DIV/0!</v>
      </c>
      <c r="G133" s="102" t="e">
        <f t="shared" si="14"/>
        <v>#DIV/0!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f>29.8-29.8+29.8</f>
        <v>29.8</v>
      </c>
      <c r="C134" s="112">
        <v>89.5</v>
      </c>
      <c r="D134" s="113"/>
      <c r="E134" s="116">
        <f>D134/D107*100</f>
        <v>0</v>
      </c>
      <c r="F134" s="102">
        <f t="shared" si="17"/>
        <v>0</v>
      </c>
      <c r="G134" s="102">
        <f t="shared" si="14"/>
        <v>0</v>
      </c>
      <c r="H134" s="103">
        <f t="shared" si="18"/>
        <v>29.8</v>
      </c>
      <c r="I134" s="103">
        <f t="shared" si="16"/>
        <v>89.5</v>
      </c>
      <c r="K134" s="158"/>
      <c r="L134" s="104"/>
    </row>
    <row r="135" spans="1:12" s="117" customFormat="1" ht="39" customHeight="1" hidden="1">
      <c r="A135" s="110" t="s">
        <v>55</v>
      </c>
      <c r="B135" s="111"/>
      <c r="C135" s="112"/>
      <c r="D135" s="113"/>
      <c r="E135" s="116">
        <f>D135/D107*100</f>
        <v>0</v>
      </c>
      <c r="F135" s="102" t="e">
        <f t="shared" si="17"/>
        <v>#DIV/0!</v>
      </c>
      <c r="G135" s="102" t="e">
        <f t="shared" si="14"/>
        <v>#DIV/0!</v>
      </c>
      <c r="H135" s="103">
        <f t="shared" si="18"/>
        <v>0</v>
      </c>
      <c r="I135" s="103">
        <f t="shared" si="16"/>
        <v>0</v>
      </c>
      <c r="K135" s="158"/>
      <c r="L135" s="104"/>
    </row>
    <row r="136" spans="1:12" s="118" customFormat="1" ht="18" hidden="1">
      <c r="A136" s="105" t="s">
        <v>89</v>
      </c>
      <c r="B136" s="106"/>
      <c r="C136" s="107"/>
      <c r="D136" s="108"/>
      <c r="E136" s="109"/>
      <c r="F136" s="102" t="e">
        <f>D136/B136*100</f>
        <v>#DIV/0!</v>
      </c>
      <c r="G136" s="109" t="e">
        <f>D136/C136*100</f>
        <v>#DIV/0!</v>
      </c>
      <c r="H136" s="107">
        <f>B136-D136</f>
        <v>0</v>
      </c>
      <c r="I136" s="107">
        <f>C136-D136</f>
        <v>0</v>
      </c>
      <c r="K136" s="158"/>
      <c r="L136" s="104"/>
    </row>
    <row r="137" spans="1:12" s="117" customFormat="1" ht="36.75" hidden="1">
      <c r="A137" s="110" t="s">
        <v>85</v>
      </c>
      <c r="B137" s="111"/>
      <c r="C137" s="112"/>
      <c r="D137" s="113"/>
      <c r="E137" s="116">
        <f>D137/D107*100</f>
        <v>0</v>
      </c>
      <c r="F137" s="102" t="e">
        <f>D137/B137*100</f>
        <v>#DIV/0!</v>
      </c>
      <c r="G137" s="102" t="e">
        <f>D137/C137*100</f>
        <v>#DIV/0!</v>
      </c>
      <c r="H137" s="103">
        <f t="shared" si="18"/>
        <v>0</v>
      </c>
      <c r="I137" s="103">
        <f t="shared" si="16"/>
        <v>0</v>
      </c>
      <c r="K137" s="158"/>
      <c r="L137" s="104"/>
    </row>
    <row r="138" spans="1:12" s="118" customFormat="1" ht="18" hidden="1">
      <c r="A138" s="105" t="s">
        <v>26</v>
      </c>
      <c r="B138" s="106"/>
      <c r="C138" s="107"/>
      <c r="D138" s="108"/>
      <c r="E138" s="109" t="e">
        <f>D138/D137*100</f>
        <v>#DIV/0!</v>
      </c>
      <c r="F138" s="109" t="e">
        <f t="shared" si="17"/>
        <v>#DIV/0!</v>
      </c>
      <c r="G138" s="109" t="e">
        <f>D138/C138*100</f>
        <v>#DIV/0!</v>
      </c>
      <c r="H138" s="107">
        <f t="shared" si="18"/>
        <v>0</v>
      </c>
      <c r="I138" s="107">
        <f t="shared" si="16"/>
        <v>0</v>
      </c>
      <c r="K138" s="158"/>
      <c r="L138" s="104"/>
    </row>
    <row r="139" spans="1:12" s="117" customFormat="1" ht="18">
      <c r="A139" s="110" t="s">
        <v>97</v>
      </c>
      <c r="B139" s="111">
        <f>126+126</f>
        <v>252</v>
      </c>
      <c r="C139" s="112">
        <v>378</v>
      </c>
      <c r="D139" s="113">
        <f>107.3+0.4</f>
        <v>107.7</v>
      </c>
      <c r="E139" s="116">
        <f>D139/D107*100</f>
        <v>1.3535592197868491</v>
      </c>
      <c r="F139" s="102">
        <f t="shared" si="17"/>
        <v>42.73809523809524</v>
      </c>
      <c r="G139" s="102">
        <f t="shared" si="14"/>
        <v>28.49206349206349</v>
      </c>
      <c r="H139" s="103">
        <f t="shared" si="18"/>
        <v>144.3</v>
      </c>
      <c r="I139" s="103">
        <f t="shared" si="16"/>
        <v>270.3</v>
      </c>
      <c r="K139" s="158"/>
      <c r="L139" s="104"/>
    </row>
    <row r="140" spans="1:12" s="118" customFormat="1" ht="18">
      <c r="A140" s="115" t="s">
        <v>44</v>
      </c>
      <c r="B140" s="106">
        <f>115.1+116.5</f>
        <v>231.6</v>
      </c>
      <c r="C140" s="107">
        <v>348</v>
      </c>
      <c r="D140" s="108">
        <v>107.3</v>
      </c>
      <c r="E140" s="109">
        <f>D140/D139*100</f>
        <v>99.62859795728876</v>
      </c>
      <c r="F140" s="109">
        <f aca="true" t="shared" si="19" ref="F140:F149">D140/B140*100</f>
        <v>46.32987910189983</v>
      </c>
      <c r="G140" s="109">
        <f t="shared" si="14"/>
        <v>30.833333333333336</v>
      </c>
      <c r="H140" s="107">
        <f t="shared" si="18"/>
        <v>124.3</v>
      </c>
      <c r="I140" s="107">
        <f t="shared" si="16"/>
        <v>240.7</v>
      </c>
      <c r="K140" s="158">
        <f>B128+B127+B126+B125+B118+B117+B114+B111+B108+B139+B121</f>
        <v>2104.3999999999996</v>
      </c>
      <c r="L140" s="104">
        <f>B108+B111+B114+B117+B118+B125+B126+B127+B128+B134+B71</f>
        <v>1913.2</v>
      </c>
    </row>
    <row r="141" spans="1:13" s="118" customFormat="1" ht="18">
      <c r="A141" s="105" t="s">
        <v>26</v>
      </c>
      <c r="B141" s="106">
        <f>8+7.4</f>
        <v>15.4</v>
      </c>
      <c r="C141" s="107">
        <v>21.9</v>
      </c>
      <c r="D141" s="108">
        <v>0.4</v>
      </c>
      <c r="E141" s="109">
        <f>D141/D139*100</f>
        <v>0.3714020427112349</v>
      </c>
      <c r="F141" s="109">
        <f t="shared" si="19"/>
        <v>2.5974025974025974</v>
      </c>
      <c r="G141" s="109">
        <f>D141/C141*100</f>
        <v>1.8264840182648405</v>
      </c>
      <c r="H141" s="107">
        <f t="shared" si="18"/>
        <v>15</v>
      </c>
      <c r="I141" s="107">
        <f t="shared" si="16"/>
        <v>21.5</v>
      </c>
      <c r="K141" s="158">
        <f>K140+B144+B124+B150</f>
        <v>22173.699999999997</v>
      </c>
      <c r="L141" s="104"/>
      <c r="M141" s="159"/>
    </row>
    <row r="142" spans="1:12" s="117" customFormat="1" ht="33.75" customHeight="1" hidden="1">
      <c r="A142" s="121" t="s">
        <v>57</v>
      </c>
      <c r="B142" s="111"/>
      <c r="C142" s="112"/>
      <c r="D142" s="113"/>
      <c r="E142" s="116">
        <f>D142/D107*100</f>
        <v>0</v>
      </c>
      <c r="F142" s="102" t="e">
        <f t="shared" si="19"/>
        <v>#DIV/0!</v>
      </c>
      <c r="G142" s="102" t="e">
        <f t="shared" si="14"/>
        <v>#DIV/0!</v>
      </c>
      <c r="H142" s="103">
        <f t="shared" si="18"/>
        <v>0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93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98</v>
      </c>
      <c r="B144" s="111">
        <f>3250-528.7+3250</f>
        <v>5971.3</v>
      </c>
      <c r="C144" s="112">
        <v>9750</v>
      </c>
      <c r="D144" s="113">
        <f>254.7+197.5</f>
        <v>452.2</v>
      </c>
      <c r="E144" s="116">
        <f>D144/D107*100</f>
        <v>5.683189221797709</v>
      </c>
      <c r="F144" s="102">
        <f t="shared" si="19"/>
        <v>7.57289032538978</v>
      </c>
      <c r="G144" s="102">
        <f t="shared" si="14"/>
        <v>4.637948717948718</v>
      </c>
      <c r="H144" s="103">
        <f t="shared" si="18"/>
        <v>5519.1</v>
      </c>
      <c r="I144" s="103">
        <f t="shared" si="16"/>
        <v>9297.8</v>
      </c>
      <c r="K144" s="158">
        <f>B107-K141</f>
        <v>29.80000000000291</v>
      </c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36.75" hidden="1">
      <c r="A146" s="121" t="s">
        <v>105</v>
      </c>
      <c r="B146" s="111"/>
      <c r="C146" s="112"/>
      <c r="D146" s="113"/>
      <c r="E146" s="116">
        <f>D146/D109*100</f>
        <v>0</v>
      </c>
      <c r="F146" s="102" t="e">
        <f>D146/B146*100</f>
        <v>#DIV/0!</v>
      </c>
      <c r="G146" s="102" t="e">
        <f>D146/C146*100</f>
        <v>#DIV/0!</v>
      </c>
      <c r="H146" s="103">
        <f>B146-D146</f>
        <v>0</v>
      </c>
      <c r="I146" s="103">
        <f>C146-D146</f>
        <v>0</v>
      </c>
      <c r="K146" s="158"/>
      <c r="L146" s="104"/>
    </row>
    <row r="147" spans="1:12" s="117" customFormat="1" ht="18">
      <c r="A147" s="110" t="s">
        <v>99</v>
      </c>
      <c r="B147" s="111">
        <v>0</v>
      </c>
      <c r="C147" s="112">
        <v>46.4</v>
      </c>
      <c r="D147" s="113"/>
      <c r="E147" s="116">
        <f>D147/D107*100</f>
        <v>0</v>
      </c>
      <c r="F147" s="102" t="e">
        <f t="shared" si="19"/>
        <v>#DIV/0!</v>
      </c>
      <c r="G147" s="102">
        <f t="shared" si="14"/>
        <v>0</v>
      </c>
      <c r="H147" s="103">
        <f t="shared" si="18"/>
        <v>0</v>
      </c>
      <c r="I147" s="103">
        <f t="shared" si="16"/>
        <v>46.4</v>
      </c>
      <c r="K147" s="158"/>
      <c r="L147" s="104"/>
    </row>
    <row r="148" spans="1:12" s="117" customFormat="1" ht="18.75" customHeight="1" hidden="1">
      <c r="A148" s="110" t="s">
        <v>78</v>
      </c>
      <c r="B148" s="111"/>
      <c r="C148" s="112"/>
      <c r="D148" s="113"/>
      <c r="E148" s="116">
        <f>D148/D107*100</f>
        <v>0</v>
      </c>
      <c r="F148" s="102" t="e">
        <f t="shared" si="19"/>
        <v>#DIV/0!</v>
      </c>
      <c r="G148" s="102" t="e">
        <f t="shared" si="14"/>
        <v>#DIV/0!</v>
      </c>
      <c r="H148" s="103">
        <f t="shared" si="18"/>
        <v>0</v>
      </c>
      <c r="I148" s="103">
        <f t="shared" si="16"/>
        <v>0</v>
      </c>
      <c r="K148" s="158"/>
      <c r="L148" s="104"/>
    </row>
    <row r="149" spans="1:12" s="117" customFormat="1" ht="19.5" customHeight="1">
      <c r="A149" s="151" t="s">
        <v>51</v>
      </c>
      <c r="B149" s="152">
        <v>0</v>
      </c>
      <c r="C149" s="153">
        <v>561.9</v>
      </c>
      <c r="D149" s="154"/>
      <c r="E149" s="155">
        <f>D149/D107*100</f>
        <v>0</v>
      </c>
      <c r="F149" s="156" t="e">
        <f t="shared" si="19"/>
        <v>#DIV/0!</v>
      </c>
      <c r="G149" s="156">
        <f t="shared" si="14"/>
        <v>0</v>
      </c>
      <c r="H149" s="157">
        <f t="shared" si="18"/>
        <v>0</v>
      </c>
      <c r="I149" s="157">
        <f>C149-D149</f>
        <v>561.9</v>
      </c>
      <c r="K149" s="158"/>
      <c r="L149" s="104"/>
    </row>
    <row r="150" spans="1:12" s="117" customFormat="1" ht="18">
      <c r="A150" s="110" t="s">
        <v>100</v>
      </c>
      <c r="B150" s="111">
        <f>2457.1+1062.3+3519.4</f>
        <v>7038.799999999999</v>
      </c>
      <c r="C150" s="112">
        <v>7371.3</v>
      </c>
      <c r="D150" s="113">
        <f>819+819+819.1+1062.3</f>
        <v>3519.3999999999996</v>
      </c>
      <c r="E150" s="116">
        <f>D150/D107*100</f>
        <v>44.23134928614518</v>
      </c>
      <c r="F150" s="102">
        <f t="shared" si="17"/>
        <v>50</v>
      </c>
      <c r="G150" s="102">
        <f t="shared" si="14"/>
        <v>47.74463120480783</v>
      </c>
      <c r="H150" s="103">
        <f t="shared" si="18"/>
        <v>3519.3999999999996</v>
      </c>
      <c r="I150" s="103">
        <f t="shared" si="16"/>
        <v>3851.9000000000005</v>
      </c>
      <c r="K150" s="158"/>
      <c r="L150" s="104"/>
    </row>
    <row r="151" spans="1:12" s="2" customFormat="1" ht="18.75" thickBot="1">
      <c r="A151" s="29" t="s">
        <v>30</v>
      </c>
      <c r="B151" s="64"/>
      <c r="C151" s="64"/>
      <c r="D151" s="45">
        <f>D43+D69+D72+D77+D79+D87+D102+D107+D100+D84+D98</f>
        <v>8316.699999999999</v>
      </c>
      <c r="E151" s="15"/>
      <c r="F151" s="15"/>
      <c r="G151" s="6"/>
      <c r="H151" s="53"/>
      <c r="I151" s="45"/>
      <c r="K151" s="158"/>
      <c r="L151" s="33"/>
    </row>
    <row r="152" spans="1:12" ht="18.75" thickBot="1">
      <c r="A152" s="12" t="s">
        <v>18</v>
      </c>
      <c r="B152" s="41">
        <f>B6+B18+B33+B43+B51+B59+B69+B72+B77+B79+B87+B90+B95+B102+B107+B100+B84+B98+B45</f>
        <v>246483.4</v>
      </c>
      <c r="C152" s="41">
        <f>C6+C18+C33+C43+C51+C59+C69+C72+C77+C79+C87+C90+C95+C102+C107+C100+C84+C98+C45</f>
        <v>367146.53</v>
      </c>
      <c r="D152" s="41">
        <f>D6+D18+D33+D43+D51+D59+D69+D72+D77+D79+D87+D90+D95+D102+D107+D100+D84+D98+D45</f>
        <v>104400.6</v>
      </c>
      <c r="E152" s="28">
        <v>100</v>
      </c>
      <c r="F152" s="3">
        <f>D152/B152*100</f>
        <v>42.35603695826981</v>
      </c>
      <c r="G152" s="3">
        <f aca="true" t="shared" si="20" ref="G152:G158">D152/C152*100</f>
        <v>28.435676622083285</v>
      </c>
      <c r="H152" s="41">
        <f aca="true" t="shared" si="21" ref="H152:H158">B152-D152</f>
        <v>142082.8</v>
      </c>
      <c r="I152" s="41">
        <f aca="true" t="shared" si="22" ref="I152:I158">C152-D152</f>
        <v>262745.93000000005</v>
      </c>
      <c r="K152" s="165">
        <f>D152-103028.6</f>
        <v>1372</v>
      </c>
      <c r="L152" s="34"/>
    </row>
    <row r="153" spans="1:12" ht="18">
      <c r="A153" s="16" t="s">
        <v>5</v>
      </c>
      <c r="B153" s="52">
        <f>B8+B20+B34+B52+B60+B91+B115+B119+B46+B140+B131+B103</f>
        <v>119642.50000000001</v>
      </c>
      <c r="C153" s="52">
        <f>C8+C20+C34+C52+C60+C91+C115+C119+C46+C140+C131+C103</f>
        <v>192261.8</v>
      </c>
      <c r="D153" s="52">
        <f>D8+D20+D34+D52+D60+D91+D115+D119+D46+D140+D131+D103</f>
        <v>63367.009999999995</v>
      </c>
      <c r="E153" s="6">
        <f>D153/D152*100</f>
        <v>60.69602090409442</v>
      </c>
      <c r="F153" s="6">
        <f aca="true" t="shared" si="23" ref="F153:F158">D153/B153*100</f>
        <v>52.96362914516162</v>
      </c>
      <c r="G153" s="6">
        <f t="shared" si="20"/>
        <v>32.958710466665764</v>
      </c>
      <c r="H153" s="53">
        <f t="shared" si="21"/>
        <v>56275.49000000002</v>
      </c>
      <c r="I153" s="63">
        <f t="shared" si="22"/>
        <v>128894.79</v>
      </c>
      <c r="K153" s="158"/>
      <c r="L153" s="34"/>
    </row>
    <row r="154" spans="1:12" ht="18">
      <c r="A154" s="16" t="s">
        <v>0</v>
      </c>
      <c r="B154" s="53">
        <f>B11+B23+B36+B55+B62+B92+B49+B141+B109+B112+B96+B138</f>
        <v>10820.3</v>
      </c>
      <c r="C154" s="53">
        <f>C11+C23+C36+C55+C62+C92+C49+C141+C109+C112+C96+C138</f>
        <v>15300.400000000001</v>
      </c>
      <c r="D154" s="53">
        <f>D11+D23+D36+D55+D62+D92+D49+D141+D109+D112+D96+D138</f>
        <v>2574.9</v>
      </c>
      <c r="E154" s="6">
        <f>D154/D152*100</f>
        <v>2.466365135832553</v>
      </c>
      <c r="F154" s="6">
        <f t="shared" si="23"/>
        <v>23.79693723833905</v>
      </c>
      <c r="G154" s="6">
        <f t="shared" si="20"/>
        <v>16.828971791587147</v>
      </c>
      <c r="H154" s="53">
        <f t="shared" si="21"/>
        <v>8245.4</v>
      </c>
      <c r="I154" s="63">
        <f t="shared" si="22"/>
        <v>12725.500000000002</v>
      </c>
      <c r="K154" s="158"/>
      <c r="L154" s="70"/>
    </row>
    <row r="155" spans="1:12" ht="18">
      <c r="A155" s="16" t="s">
        <v>1</v>
      </c>
      <c r="B155" s="52">
        <f>B22+B10+B54+B48+B61+B35+B123</f>
        <v>7254.599999999999</v>
      </c>
      <c r="C155" s="52">
        <f>C22+C10+C54+C48+C61+C35+C123</f>
        <v>11076.999999999998</v>
      </c>
      <c r="D155" s="52">
        <f>D22+D10+D54+D48+D61+D35+D123</f>
        <v>442.1</v>
      </c>
      <c r="E155" s="6">
        <f>D155/D152*100</f>
        <v>0.42346499924329933</v>
      </c>
      <c r="F155" s="6">
        <f t="shared" si="23"/>
        <v>6.094064455655722</v>
      </c>
      <c r="G155" s="6">
        <f t="shared" si="20"/>
        <v>3.991152839216395</v>
      </c>
      <c r="H155" s="53">
        <f t="shared" si="21"/>
        <v>6812.499999999999</v>
      </c>
      <c r="I155" s="63">
        <f t="shared" si="22"/>
        <v>10634.899999999998</v>
      </c>
      <c r="K155" s="158"/>
      <c r="L155" s="34"/>
    </row>
    <row r="156" spans="1:12" ht="21" customHeight="1">
      <c r="A156" s="16" t="s">
        <v>14</v>
      </c>
      <c r="B156" s="52">
        <f>B12+B24+B104+B63+B38+B93+B129+B56+B136</f>
        <v>3898.3999999999996</v>
      </c>
      <c r="C156" s="52">
        <f>C12+C24+C104+C63+C38+C93+C129+C56+C136</f>
        <v>5516</v>
      </c>
      <c r="D156" s="52">
        <f>D12+D24+D104+D63+D38+D93+D129+D56+D136</f>
        <v>1434.2999999999997</v>
      </c>
      <c r="E156" s="6">
        <f>D156/D152*100</f>
        <v>1.3738426790650624</v>
      </c>
      <c r="F156" s="6">
        <f t="shared" si="23"/>
        <v>36.792017237841165</v>
      </c>
      <c r="G156" s="6">
        <f t="shared" si="20"/>
        <v>26.002538071065985</v>
      </c>
      <c r="H156" s="53">
        <f>B156-D156</f>
        <v>2464.1</v>
      </c>
      <c r="I156" s="63">
        <f t="shared" si="22"/>
        <v>4081.7000000000003</v>
      </c>
      <c r="K156" s="158"/>
      <c r="L156" s="70"/>
    </row>
    <row r="157" spans="1:12" ht="18">
      <c r="A157" s="16" t="s">
        <v>2</v>
      </c>
      <c r="B157" s="52">
        <f>B9+B21+B47+B53+B122</f>
        <v>0</v>
      </c>
      <c r="C157" s="52">
        <f>C9+C21+C47+C53+C122</f>
        <v>0</v>
      </c>
      <c r="D157" s="52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3">
        <f t="shared" si="21"/>
        <v>0</v>
      </c>
      <c r="I157" s="63">
        <f t="shared" si="22"/>
        <v>0</v>
      </c>
      <c r="K157" s="158"/>
      <c r="L157" s="34"/>
    </row>
    <row r="158" spans="1:12" ht="18.75" thickBot="1">
      <c r="A158" s="89" t="s">
        <v>28</v>
      </c>
      <c r="B158" s="65">
        <f>B152-B153-B154-B155-B156-B157</f>
        <v>104867.59999999998</v>
      </c>
      <c r="C158" s="65">
        <f>C152-C153-C154-C155-C156-C157</f>
        <v>142991.33000000005</v>
      </c>
      <c r="D158" s="65">
        <f>D152-D153-D154-D155-D156-D157</f>
        <v>36582.29000000001</v>
      </c>
      <c r="E158" s="31">
        <f>D158/D152*100</f>
        <v>35.04030628176467</v>
      </c>
      <c r="F158" s="31">
        <f t="shared" si="23"/>
        <v>34.88426358570237</v>
      </c>
      <c r="G158" s="31">
        <f t="shared" si="20"/>
        <v>25.58357209489554</v>
      </c>
      <c r="H158" s="90">
        <f t="shared" si="21"/>
        <v>68285.30999999997</v>
      </c>
      <c r="I158" s="90">
        <f t="shared" si="22"/>
        <v>106409.04000000004</v>
      </c>
      <c r="K158" s="158"/>
      <c r="L158" s="70"/>
    </row>
    <row r="159" spans="7:8" ht="12.75">
      <c r="G159" s="18"/>
      <c r="H159" s="18"/>
    </row>
    <row r="160" spans="3:11" ht="12.75">
      <c r="C160" s="158"/>
      <c r="G160" s="18"/>
      <c r="H160" s="18"/>
      <c r="I160" s="18"/>
      <c r="K160" s="96"/>
    </row>
    <row r="161" spans="7:11" ht="12.75">
      <c r="G161" s="18"/>
      <c r="H161" s="18"/>
      <c r="K161" s="96"/>
    </row>
    <row r="162" spans="7:11" ht="12.75">
      <c r="G162" s="18"/>
      <c r="H162" s="18"/>
      <c r="K162" s="96"/>
    </row>
    <row r="163" spans="4:8" ht="12.75">
      <c r="D163" s="158"/>
      <c r="G163" s="18"/>
      <c r="H163" s="18"/>
    </row>
    <row r="164" spans="7:8" ht="12.75">
      <c r="G164" s="18"/>
      <c r="H164" s="18"/>
    </row>
    <row r="165" spans="2:8" ht="12.75">
      <c r="B165" s="93"/>
      <c r="C165" s="93"/>
      <c r="D165" s="93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104400.6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104400.6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2018-02-02T12:45:12Z</cp:lastPrinted>
  <dcterms:created xsi:type="dcterms:W3CDTF">2000-06-20T04:48:00Z</dcterms:created>
  <dcterms:modified xsi:type="dcterms:W3CDTF">2018-02-05T12:05:57Z</dcterms:modified>
  <cp:category/>
  <cp:version/>
  <cp:contentType/>
  <cp:contentStatus/>
</cp:coreProperties>
</file>